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4/3M24/Key Data/"/>
    </mc:Choice>
  </mc:AlternateContent>
  <xr:revisionPtr revIDLastSave="1351" documentId="6_{96763027-2B77-423E-8112-A8BB4039699E}" xr6:coauthVersionLast="47" xr6:coauthVersionMax="47" xr10:uidLastSave="{924CF8AD-D79F-4494-9150-9485ED877FC4}"/>
  <bookViews>
    <workbookView xWindow="-120" yWindow="-120" windowWidth="29040" windowHeight="15840" tabRatio="731" activeTab="7"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DPR" sheetId="40" r:id="rId7"/>
    <sheet name="Operating Data" sheetId="49" r:id="rId8"/>
    <sheet name="Electricity Networks" sheetId="51" r:id="rId9"/>
    <sheet name="Ocean Winds" sheetId="50" r:id="rId10"/>
    <sheet name="Sustainability" sheetId="46"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9" i="48" l="1"/>
  <c r="S31" i="45" l="1"/>
  <c r="Q31" i="45"/>
  <c r="R31" i="45"/>
  <c r="AB12" i="51" l="1"/>
  <c r="AB197" i="51" l="1"/>
  <c r="AB188" i="51"/>
  <c r="AB11" i="51" l="1"/>
  <c r="AB10" i="51" s="1"/>
  <c r="C35" i="50" l="1"/>
  <c r="AO37" i="40" l="1"/>
  <c r="AO38" i="40"/>
  <c r="AO40" i="40"/>
  <c r="AO39" i="40"/>
  <c r="AO311" i="40" l="1"/>
  <c r="AO303" i="40"/>
  <c r="AO302" i="40"/>
  <c r="AO301" i="40"/>
  <c r="AO300" i="40"/>
  <c r="AO297" i="40"/>
  <c r="AO296" i="40"/>
  <c r="AO295" i="40"/>
  <c r="AO294" i="40"/>
  <c r="AO292" i="40"/>
  <c r="AO288" i="40"/>
  <c r="AO287" i="40"/>
  <c r="AO286" i="40"/>
  <c r="AO285" i="40"/>
  <c r="AO282" i="40"/>
  <c r="AO281" i="40"/>
  <c r="AO280" i="40"/>
  <c r="AO279" i="40"/>
  <c r="AO183" i="40"/>
  <c r="AO182" i="40"/>
  <c r="AO181" i="40"/>
  <c r="AO180" i="40"/>
  <c r="AO157" i="40"/>
  <c r="AO156" i="40"/>
  <c r="AO155" i="40"/>
  <c r="AO154" i="40"/>
  <c r="AO151" i="40"/>
  <c r="AO150" i="40"/>
  <c r="AO149" i="40"/>
  <c r="AO148" i="40"/>
  <c r="AO146" i="40"/>
  <c r="AO144" i="40"/>
  <c r="AO140" i="40"/>
  <c r="AO139" i="40"/>
  <c r="AO138" i="40"/>
  <c r="AO137" i="40"/>
  <c r="AO134" i="40"/>
  <c r="AO133" i="40"/>
  <c r="AO132" i="40"/>
  <c r="AO131" i="40"/>
  <c r="AO129" i="40"/>
  <c r="AO127" i="40"/>
  <c r="AO126" i="40"/>
  <c r="AO114" i="40"/>
  <c r="AO113" i="40"/>
  <c r="AO112" i="40"/>
  <c r="AF19" i="40"/>
  <c r="AO19" i="40" s="1"/>
  <c r="AF7" i="40"/>
  <c r="AO7" i="40" s="1"/>
  <c r="AO130" i="40" l="1"/>
  <c r="AO179" i="40"/>
  <c r="AO283" i="40"/>
  <c r="AO293" i="40"/>
  <c r="AO152" i="40"/>
  <c r="AO278" i="40"/>
  <c r="AO143" i="40"/>
  <c r="AO135" i="40"/>
  <c r="AO145" i="40"/>
  <c r="AO128" i="40"/>
  <c r="AO298" i="40"/>
  <c r="AO147" i="40"/>
  <c r="AO291" i="40"/>
  <c r="AF18" i="40"/>
  <c r="AO18" i="40" s="1"/>
  <c r="AF26" i="40"/>
  <c r="AO26" i="40" s="1"/>
  <c r="AF27" i="40"/>
  <c r="AO27" i="40" s="1"/>
  <c r="AF6" i="40"/>
  <c r="AO6" i="40" s="1"/>
  <c r="AF85" i="51" l="1"/>
  <c r="AF248" i="51"/>
  <c r="AF249" i="51" s="1"/>
  <c r="AF179" i="51"/>
  <c r="AF180" i="51" s="1"/>
  <c r="AF177" i="51"/>
  <c r="AF178" i="51" s="1"/>
  <c r="AF89" i="51"/>
  <c r="AF137" i="51"/>
  <c r="AF138" i="51" s="1"/>
  <c r="AF83" i="51"/>
  <c r="AF79" i="51"/>
  <c r="AF78" i="51"/>
  <c r="AF240" i="51"/>
  <c r="AF239" i="51"/>
  <c r="AF73" i="51"/>
  <c r="AF237" i="51"/>
  <c r="AF236" i="51"/>
  <c r="AF70" i="51"/>
  <c r="AF68" i="51"/>
  <c r="AF129" i="51"/>
  <c r="AF57" i="51"/>
  <c r="AF231" i="51"/>
  <c r="AF232" i="51" s="1"/>
  <c r="AF229" i="51"/>
  <c r="AF230" i="51" s="1"/>
  <c r="AF62" i="51"/>
  <c r="AF63" i="51" s="1"/>
  <c r="AF167" i="51"/>
  <c r="AF168" i="51" s="1"/>
  <c r="AF165" i="51"/>
  <c r="AF166" i="51" s="1"/>
  <c r="AF60" i="51"/>
  <c r="AF61" i="51" s="1"/>
  <c r="AF125" i="51"/>
  <c r="AF123" i="51"/>
  <c r="AF121" i="51"/>
  <c r="AF58" i="51"/>
  <c r="AF59" i="51" s="1"/>
  <c r="AF55" i="51"/>
  <c r="AF54" i="51"/>
  <c r="AF116" i="51"/>
  <c r="AF267" i="51"/>
  <c r="AO267" i="51" s="1"/>
  <c r="AF225" i="51"/>
  <c r="AF159" i="51"/>
  <c r="AF114" i="51"/>
  <c r="AF41" i="51"/>
  <c r="AF264" i="51"/>
  <c r="AO264" i="51" s="1"/>
  <c r="AF220" i="51"/>
  <c r="AF37" i="51"/>
  <c r="AF111" i="51"/>
  <c r="AF110" i="51"/>
  <c r="AF109" i="51"/>
  <c r="AF90" i="49"/>
  <c r="AF105" i="45"/>
  <c r="AO105" i="45" s="1"/>
  <c r="AF81" i="49"/>
  <c r="AF70" i="49"/>
  <c r="AF64" i="49"/>
  <c r="AF38" i="49"/>
  <c r="AF36" i="49"/>
  <c r="AF29" i="49"/>
  <c r="AF31" i="45"/>
  <c r="AF29" i="45"/>
  <c r="AF28" i="45"/>
  <c r="AF27" i="45"/>
  <c r="AF18" i="49"/>
  <c r="AF12" i="49"/>
  <c r="AF139" i="51"/>
  <c r="AF140" i="51" s="1"/>
  <c r="AF222" i="51"/>
  <c r="AF221" i="51"/>
  <c r="AO212" i="51"/>
  <c r="AO213" i="51"/>
  <c r="AO261" i="51"/>
  <c r="AF197" i="51"/>
  <c r="AO197" i="51" s="1"/>
  <c r="AO259" i="51"/>
  <c r="AO257" i="51"/>
  <c r="AO256" i="51"/>
  <c r="AO255" i="51"/>
  <c r="AO254" i="51"/>
  <c r="AO211" i="51"/>
  <c r="AO210" i="51"/>
  <c r="AO209" i="51"/>
  <c r="AO208" i="51"/>
  <c r="AO206" i="51"/>
  <c r="AO204" i="51"/>
  <c r="AO203" i="51"/>
  <c r="AO199" i="51"/>
  <c r="AO198" i="51"/>
  <c r="AO196" i="51"/>
  <c r="AO195" i="51"/>
  <c r="AO194" i="51"/>
  <c r="AO193" i="51"/>
  <c r="AO191" i="51"/>
  <c r="AO190" i="51"/>
  <c r="AO189" i="51"/>
  <c r="AO187" i="51"/>
  <c r="AO186" i="51"/>
  <c r="AF216" i="51"/>
  <c r="AO216" i="51" s="1"/>
  <c r="AO184" i="51"/>
  <c r="AO153" i="51"/>
  <c r="AO152" i="51"/>
  <c r="AO151" i="51"/>
  <c r="AO149" i="51"/>
  <c r="AO148" i="51"/>
  <c r="AO147" i="51"/>
  <c r="AO146" i="51"/>
  <c r="AO145" i="51"/>
  <c r="AO144" i="51"/>
  <c r="AO106" i="51"/>
  <c r="AO105" i="51"/>
  <c r="AF11" i="51"/>
  <c r="AO11" i="51" s="1"/>
  <c r="AO103" i="51"/>
  <c r="AO102" i="51"/>
  <c r="AO101" i="51"/>
  <c r="AO100" i="51"/>
  <c r="AO99" i="51"/>
  <c r="AO96" i="51"/>
  <c r="AO32" i="51"/>
  <c r="AO31" i="51"/>
  <c r="AO30" i="51"/>
  <c r="AO29" i="51"/>
  <c r="AO28" i="51"/>
  <c r="AO27" i="51"/>
  <c r="AO26" i="51"/>
  <c r="AO25" i="51"/>
  <c r="AO22" i="51"/>
  <c r="AO21" i="51"/>
  <c r="AO17" i="51"/>
  <c r="AO16" i="51"/>
  <c r="AO9" i="51"/>
  <c r="AO8" i="51"/>
  <c r="AO7" i="51"/>
  <c r="AO6" i="51"/>
  <c r="AO5" i="51"/>
  <c r="AO4" i="51"/>
  <c r="AO192" i="51"/>
  <c r="AO258" i="51"/>
  <c r="AF246" i="51"/>
  <c r="AF247" i="51" s="1"/>
  <c r="AF244" i="51"/>
  <c r="AF245" i="51" s="1"/>
  <c r="AF135" i="51"/>
  <c r="AF136" i="51" s="1"/>
  <c r="AF133" i="51"/>
  <c r="AF134" i="51" s="1"/>
  <c r="AF87" i="51"/>
  <c r="AF44" i="51"/>
  <c r="AO109" i="45"/>
  <c r="AO90" i="45"/>
  <c r="AO89" i="45"/>
  <c r="AO88" i="45"/>
  <c r="AO87" i="45"/>
  <c r="AO85" i="45"/>
  <c r="AO84" i="45"/>
  <c r="AO83" i="45"/>
  <c r="AO82" i="45"/>
  <c r="AO58" i="45"/>
  <c r="AO57" i="45"/>
  <c r="AO14" i="45"/>
  <c r="AO13" i="45"/>
  <c r="AO12" i="45"/>
  <c r="AO11" i="45"/>
  <c r="AO10" i="45"/>
  <c r="AO9" i="45"/>
  <c r="AO8" i="45"/>
  <c r="AO7" i="45"/>
  <c r="AO6" i="45"/>
  <c r="AO5" i="45"/>
  <c r="AO4" i="45"/>
  <c r="AF30" i="45"/>
  <c r="AO29" i="39"/>
  <c r="AO34" i="39"/>
  <c r="AO33" i="39"/>
  <c r="AO32" i="39"/>
  <c r="AO31" i="39"/>
  <c r="AO30" i="39"/>
  <c r="AO25" i="39"/>
  <c r="AO24" i="39"/>
  <c r="AO22" i="39"/>
  <c r="AO21" i="39"/>
  <c r="AO16" i="39"/>
  <c r="AO15" i="39"/>
  <c r="AO14" i="39"/>
  <c r="AO13" i="39"/>
  <c r="AO12" i="39"/>
  <c r="AO10" i="39"/>
  <c r="AO9" i="39"/>
  <c r="AO8" i="39"/>
  <c r="AO7" i="39"/>
  <c r="AO6" i="39"/>
  <c r="AO5" i="39"/>
  <c r="AO44" i="32"/>
  <c r="AO62" i="32"/>
  <c r="AO49" i="32"/>
  <c r="AO40" i="32"/>
  <c r="AO36" i="32"/>
  <c r="AO30" i="32"/>
  <c r="AO26" i="32"/>
  <c r="AO22" i="32"/>
  <c r="AF242" i="51" l="1"/>
  <c r="AF243" i="51" s="1"/>
  <c r="AF91" i="51"/>
  <c r="AO91" i="51" s="1"/>
  <c r="AF119" i="51"/>
  <c r="AF238" i="51"/>
  <c r="AF156" i="51"/>
  <c r="AF22" i="49"/>
  <c r="AF53" i="51"/>
  <c r="AF42" i="49"/>
  <c r="AF72" i="51"/>
  <c r="AF227" i="51"/>
  <c r="AF228" i="51" s="1"/>
  <c r="AF43" i="51"/>
  <c r="AO202" i="51"/>
  <c r="AO205" i="51"/>
  <c r="AF207" i="51"/>
  <c r="AO207" i="51" s="1"/>
  <c r="AO11" i="39"/>
  <c r="AO23" i="39"/>
  <c r="AO4" i="39"/>
  <c r="AO35" i="39"/>
  <c r="AF45" i="51"/>
  <c r="AO17" i="39"/>
  <c r="AO20" i="39"/>
  <c r="AO26" i="39"/>
  <c r="AF161" i="51"/>
  <c r="AO15" i="32"/>
  <c r="AO6" i="32"/>
  <c r="AF10" i="32"/>
  <c r="AO10" i="32" s="1"/>
  <c r="AF13" i="51"/>
  <c r="AO13" i="51" s="1"/>
  <c r="AF14" i="51"/>
  <c r="AO14" i="51" s="1"/>
  <c r="AF95" i="45"/>
  <c r="AF173" i="51"/>
  <c r="AF71" i="51"/>
  <c r="AF42" i="51"/>
  <c r="AF104" i="45"/>
  <c r="AF32" i="49"/>
  <c r="AF94" i="45" s="1"/>
  <c r="AF117" i="51"/>
  <c r="AF12" i="51"/>
  <c r="AO12" i="51" s="1"/>
  <c r="AF84" i="49"/>
  <c r="AF74" i="51"/>
  <c r="AF32" i="45"/>
  <c r="AF57" i="49"/>
  <c r="AF217" i="51"/>
  <c r="AO217" i="51" s="1"/>
  <c r="AF5" i="49"/>
  <c r="AO260" i="51"/>
  <c r="AF94" i="49"/>
  <c r="AF55" i="45"/>
  <c r="AF46" i="51"/>
  <c r="AF75" i="51"/>
  <c r="AF15" i="51"/>
  <c r="AO15" i="51" s="1"/>
  <c r="AF61" i="49"/>
  <c r="AF74" i="49"/>
  <c r="AF9" i="49"/>
  <c r="AO185" i="51"/>
  <c r="AF188" i="51"/>
  <c r="AO188" i="51" s="1"/>
  <c r="AO56" i="45"/>
  <c r="AO104" i="51"/>
  <c r="AF163" i="51"/>
  <c r="AF164" i="51" s="1"/>
  <c r="AF36" i="51"/>
  <c r="AF171" i="51"/>
  <c r="AO89" i="51"/>
  <c r="AF26" i="45"/>
  <c r="AF88" i="49"/>
  <c r="AF130" i="51"/>
  <c r="AO87" i="51"/>
  <c r="AF175" i="51"/>
  <c r="AF176" i="51" s="1"/>
  <c r="AO85" i="51"/>
  <c r="AF67" i="51"/>
  <c r="AF172" i="51"/>
  <c r="AF235" i="51"/>
  <c r="AF38" i="45"/>
  <c r="AF37" i="45" s="1"/>
  <c r="AO70" i="32"/>
  <c r="AO69" i="32"/>
  <c r="AO68" i="32"/>
  <c r="AO67" i="32"/>
  <c r="AO66" i="32"/>
  <c r="AO65" i="32"/>
  <c r="AO63" i="32"/>
  <c r="AO61" i="32"/>
  <c r="AO60" i="32"/>
  <c r="AO57" i="32"/>
  <c r="AO56" i="32"/>
  <c r="AO55" i="32"/>
  <c r="AO54" i="32"/>
  <c r="AO53" i="32"/>
  <c r="AO51" i="32"/>
  <c r="AO50" i="32"/>
  <c r="AO46" i="32"/>
  <c r="AO45" i="32"/>
  <c r="AO42" i="32"/>
  <c r="AO41" i="32"/>
  <c r="AO37" i="32"/>
  <c r="AO33" i="32"/>
  <c r="AO32" i="32"/>
  <c r="AO31" i="32"/>
  <c r="AO28" i="32"/>
  <c r="AO27" i="32"/>
  <c r="AO25" i="32"/>
  <c r="AO24" i="32"/>
  <c r="AO23" i="32"/>
  <c r="AO20" i="32"/>
  <c r="AO19" i="32"/>
  <c r="AO18" i="32"/>
  <c r="AO17" i="32"/>
  <c r="AO16" i="32"/>
  <c r="AO8" i="32"/>
  <c r="X90" i="49"/>
  <c r="X88" i="49"/>
  <c r="X81" i="49"/>
  <c r="X70" i="49"/>
  <c r="X64" i="49"/>
  <c r="X38" i="49"/>
  <c r="X36" i="49"/>
  <c r="X29" i="49"/>
  <c r="X31" i="45"/>
  <c r="X30" i="45"/>
  <c r="X29" i="45"/>
  <c r="X28" i="45"/>
  <c r="X27" i="45"/>
  <c r="X26" i="45"/>
  <c r="X18" i="49"/>
  <c r="X12" i="49"/>
  <c r="AF10" i="51" l="1"/>
  <c r="AO10" i="51" s="1"/>
  <c r="AF103" i="45"/>
  <c r="AO103" i="45" s="1"/>
  <c r="AO104" i="45"/>
  <c r="AO72" i="32"/>
  <c r="X94" i="49"/>
  <c r="AF9" i="32"/>
  <c r="AF93" i="45"/>
  <c r="X61" i="49"/>
  <c r="AO21" i="32"/>
  <c r="AO58" i="32"/>
  <c r="X84" i="49"/>
  <c r="AO39" i="32"/>
  <c r="AO52" i="32"/>
  <c r="X32" i="49"/>
  <c r="AO29" i="32"/>
  <c r="AO4" i="32"/>
  <c r="AO5" i="32" s="1"/>
  <c r="AO43" i="32"/>
  <c r="AO64" i="32"/>
  <c r="AF25" i="45"/>
  <c r="AF23" i="45" s="1"/>
  <c r="AF71" i="32"/>
  <c r="AO71" i="32" s="1"/>
  <c r="X9" i="49"/>
  <c r="AO13" i="32"/>
  <c r="AO34" i="32"/>
  <c r="AO47" i="32"/>
  <c r="AF12" i="32"/>
  <c r="AO12" i="32" s="1"/>
  <c r="AF11" i="32"/>
  <c r="AO11" i="32" s="1"/>
  <c r="AO7" i="32"/>
  <c r="X42" i="49"/>
  <c r="AF5" i="32"/>
  <c r="AF38" i="32"/>
  <c r="AO38" i="32" s="1"/>
  <c r="X5" i="49"/>
  <c r="X74" i="49"/>
  <c r="X57" i="49"/>
  <c r="X197" i="51"/>
  <c r="X188" i="51"/>
  <c r="X15" i="51"/>
  <c r="X14" i="51"/>
  <c r="X13" i="51"/>
  <c r="X217" i="51"/>
  <c r="X12" i="51"/>
  <c r="X11" i="51"/>
  <c r="X27" i="40"/>
  <c r="X19" i="40"/>
  <c r="X7" i="40"/>
  <c r="X25" i="40"/>
  <c r="X17" i="40"/>
  <c r="X26" i="40"/>
  <c r="X18" i="40"/>
  <c r="X6" i="40"/>
  <c r="X88" i="40"/>
  <c r="X70" i="40"/>
  <c r="X56" i="40"/>
  <c r="AF17" i="48"/>
  <c r="AF18" i="48"/>
  <c r="AF14" i="48"/>
  <c r="X5" i="40" l="1"/>
  <c r="X8" i="40" s="1"/>
  <c r="X72" i="40"/>
  <c r="AO9" i="32"/>
  <c r="AF23" i="48"/>
  <c r="X52" i="40"/>
  <c r="X207" i="51"/>
  <c r="X216" i="51"/>
  <c r="X10" i="51"/>
  <c r="X83" i="40"/>
  <c r="X62" i="40"/>
  <c r="X48" i="40"/>
  <c r="X66" i="40"/>
  <c r="X20" i="40"/>
  <c r="X78" i="40"/>
  <c r="X28" i="40"/>
  <c r="X38" i="45"/>
  <c r="X37" i="45" s="1"/>
  <c r="X55" i="45"/>
  <c r="X32" i="45"/>
  <c r="X61" i="40" l="1"/>
  <c r="X47" i="40"/>
  <c r="X77" i="40"/>
  <c r="X45" i="40" l="1"/>
  <c r="X43" i="40" s="1"/>
  <c r="X12" i="32" l="1"/>
  <c r="X11" i="32"/>
  <c r="Y62" i="32"/>
  <c r="X71" i="32" l="1"/>
  <c r="X10" i="32"/>
  <c r="X9" i="32"/>
  <c r="AB17" i="48"/>
  <c r="AE18" i="48" l="1"/>
  <c r="AE19" i="48" s="1"/>
  <c r="AE17" i="48"/>
  <c r="AD18" i="48"/>
  <c r="AD17" i="48"/>
  <c r="AC18" i="48"/>
  <c r="AC19" i="48" s="1"/>
  <c r="AC17" i="48"/>
  <c r="AD19" i="48" l="1"/>
  <c r="Y18" i="48"/>
  <c r="Y17" i="48"/>
  <c r="Y22" i="48"/>
  <c r="Y19" i="48" l="1"/>
  <c r="AD37" i="46" l="1"/>
  <c r="AD36" i="46"/>
  <c r="AN278" i="40" l="1"/>
  <c r="Y228" i="40" l="1"/>
  <c r="AE56" i="40" l="1"/>
  <c r="AE66" i="40"/>
  <c r="Y192" i="51" l="1"/>
  <c r="Y162" i="51"/>
  <c r="AN192" i="51" l="1"/>
  <c r="AN258" i="51"/>
  <c r="Y70" i="46"/>
  <c r="Y69" i="46"/>
  <c r="Y68" i="46"/>
  <c r="Y67" i="46"/>
  <c r="Y66" i="46"/>
  <c r="Y65" i="46"/>
  <c r="Y64" i="46"/>
  <c r="Y63" i="46"/>
  <c r="Y62" i="46"/>
  <c r="Y61" i="46"/>
  <c r="Y60" i="46"/>
  <c r="Y59" i="46"/>
  <c r="Y58" i="46"/>
  <c r="Y55" i="46"/>
  <c r="Y54" i="46"/>
  <c r="Y53" i="46"/>
  <c r="Y52" i="46"/>
  <c r="Y51" i="46"/>
  <c r="Y50" i="46"/>
  <c r="Y48" i="46"/>
  <c r="Y47" i="46"/>
  <c r="Y46" i="46"/>
  <c r="Y44" i="46"/>
  <c r="Y43" i="46"/>
  <c r="Y42" i="46"/>
  <c r="Y38" i="46"/>
  <c r="Y37" i="46"/>
  <c r="Y36" i="46"/>
  <c r="Y34" i="46"/>
  <c r="Y33" i="46"/>
  <c r="Y32" i="46"/>
  <c r="Y31" i="46"/>
  <c r="Y29" i="46"/>
  <c r="Y28" i="46"/>
  <c r="Y27" i="46"/>
  <c r="Y23" i="46"/>
  <c r="Y22" i="46"/>
  <c r="Y21" i="46"/>
  <c r="Y19" i="46"/>
  <c r="Y18" i="46"/>
  <c r="Y17" i="46"/>
  <c r="Y15" i="46"/>
  <c r="Y14" i="46"/>
  <c r="Y12" i="46"/>
  <c r="Y11" i="46"/>
  <c r="Y10" i="46"/>
  <c r="Y8" i="46"/>
  <c r="Y7" i="46"/>
  <c r="Y6" i="46"/>
  <c r="Y4" i="46"/>
  <c r="AE222" i="51"/>
  <c r="Y222" i="51" s="1"/>
  <c r="Y115" i="49"/>
  <c r="Y209" i="51"/>
  <c r="Y208" i="51"/>
  <c r="Y205" i="51"/>
  <c r="Y204" i="51"/>
  <c r="Y203" i="51"/>
  <c r="Y150" i="51"/>
  <c r="Y116" i="49" l="1"/>
  <c r="AN204" i="40"/>
  <c r="AE13" i="51"/>
  <c r="AE15" i="51"/>
  <c r="Y211" i="51"/>
  <c r="AE207" i="51"/>
  <c r="Y207" i="51" s="1"/>
  <c r="Y206" i="51"/>
  <c r="AE14" i="51"/>
  <c r="Y210" i="51"/>
  <c r="AN195" i="40"/>
  <c r="AN203" i="40"/>
  <c r="AN211" i="40"/>
  <c r="AN196" i="40"/>
  <c r="AN212" i="40"/>
  <c r="AN197" i="40"/>
  <c r="AN205" i="40"/>
  <c r="AN213" i="40"/>
  <c r="AN198" i="40"/>
  <c r="AN206" i="40"/>
  <c r="AN199" i="40"/>
  <c r="AN207" i="40"/>
  <c r="AN192" i="40"/>
  <c r="AN200" i="40"/>
  <c r="AN208" i="40"/>
  <c r="AN193" i="40"/>
  <c r="AN201" i="40"/>
  <c r="AN209" i="40"/>
  <c r="AN194" i="40"/>
  <c r="AN202" i="40"/>
  <c r="AN210" i="40"/>
  <c r="AE70" i="40"/>
  <c r="AE5" i="40"/>
  <c r="AE6" i="40"/>
  <c r="AE7" i="40"/>
  <c r="AE17" i="40"/>
  <c r="AE18" i="40"/>
  <c r="AE19" i="40"/>
  <c r="AE26" i="40"/>
  <c r="AE27" i="40"/>
  <c r="AE25" i="40"/>
  <c r="Y21" i="40"/>
  <c r="AE52" i="40" l="1"/>
  <c r="AE20" i="40"/>
  <c r="AE8" i="40"/>
  <c r="AN106" i="40"/>
  <c r="AE48" i="40"/>
  <c r="AE28" i="40"/>
  <c r="AE88" i="40"/>
  <c r="AE83" i="40"/>
  <c r="AE78" i="40"/>
  <c r="AE72" i="40"/>
  <c r="AE62" i="40"/>
  <c r="Y32" i="51"/>
  <c r="Y31" i="51"/>
  <c r="Y15" i="51"/>
  <c r="Y14" i="51"/>
  <c r="Y13" i="51"/>
  <c r="AE61" i="40" l="1"/>
  <c r="Y61" i="40" s="1"/>
  <c r="AE47" i="40"/>
  <c r="AE77" i="40"/>
  <c r="Y342" i="40"/>
  <c r="Y340" i="40"/>
  <c r="Y338" i="40"/>
  <c r="Y336" i="40"/>
  <c r="Y335" i="40"/>
  <c r="Y334" i="40"/>
  <c r="Y333" i="40"/>
  <c r="Y329" i="40"/>
  <c r="Y328" i="40"/>
  <c r="Y327" i="40"/>
  <c r="Y326" i="40"/>
  <c r="Y325" i="40"/>
  <c r="Y324" i="40"/>
  <c r="Y323" i="40"/>
  <c r="Y322" i="40"/>
  <c r="Y321" i="40"/>
  <c r="Y320" i="40"/>
  <c r="Y319" i="40"/>
  <c r="Y318" i="40"/>
  <c r="Y317" i="40"/>
  <c r="Y313" i="40"/>
  <c r="Y311" i="40"/>
  <c r="Y309" i="40"/>
  <c r="Y307" i="40"/>
  <c r="Y303" i="40"/>
  <c r="Y302" i="40"/>
  <c r="Y301" i="40"/>
  <c r="Y300" i="40"/>
  <c r="Y299" i="40"/>
  <c r="Y298" i="40"/>
  <c r="Y297" i="40"/>
  <c r="Y296" i="40"/>
  <c r="Y295" i="40"/>
  <c r="Y294" i="40"/>
  <c r="Y293" i="40"/>
  <c r="Y292" i="40"/>
  <c r="Y291" i="40"/>
  <c r="Y288" i="40"/>
  <c r="Y287" i="40"/>
  <c r="Y286" i="40"/>
  <c r="Y285" i="40"/>
  <c r="Y284" i="40"/>
  <c r="Y283" i="40"/>
  <c r="Y282" i="40"/>
  <c r="Y281" i="40"/>
  <c r="Y280" i="40"/>
  <c r="Y279" i="40"/>
  <c r="Y278" i="40"/>
  <c r="Y277" i="40"/>
  <c r="Y276" i="40"/>
  <c r="Y271" i="40"/>
  <c r="Y270" i="40"/>
  <c r="Y269" i="40"/>
  <c r="Y268" i="40"/>
  <c r="Y267" i="40"/>
  <c r="Y266" i="40"/>
  <c r="Y265" i="40"/>
  <c r="Y264" i="40"/>
  <c r="Y263" i="40"/>
  <c r="Y262" i="40"/>
  <c r="Y261" i="40"/>
  <c r="Y260" i="40"/>
  <c r="Y259" i="40"/>
  <c r="Y258" i="40"/>
  <c r="Y256" i="40"/>
  <c r="Y255" i="40"/>
  <c r="Y254" i="40"/>
  <c r="Y253" i="40"/>
  <c r="Y252" i="40"/>
  <c r="Y251" i="40"/>
  <c r="Y250" i="40"/>
  <c r="Y249" i="40"/>
  <c r="Y248" i="40"/>
  <c r="Y247" i="40"/>
  <c r="Y246" i="40"/>
  <c r="Y245" i="40"/>
  <c r="Y244" i="40"/>
  <c r="Y243" i="40"/>
  <c r="Y242" i="40"/>
  <c r="Y240" i="40"/>
  <c r="Y239" i="40"/>
  <c r="Y238" i="40"/>
  <c r="Y237" i="40"/>
  <c r="Y236" i="40"/>
  <c r="Y235" i="40"/>
  <c r="Y234" i="40"/>
  <c r="Y233" i="40"/>
  <c r="Y232" i="40"/>
  <c r="Y231" i="40"/>
  <c r="Y230" i="40"/>
  <c r="Y227" i="40"/>
  <c r="Y226" i="40"/>
  <c r="Y225" i="40"/>
  <c r="Y224" i="40"/>
  <c r="Y223" i="40"/>
  <c r="Y222" i="40"/>
  <c r="Y221" i="40"/>
  <c r="Y220" i="40"/>
  <c r="Y219" i="40"/>
  <c r="Y218" i="40"/>
  <c r="Y217" i="40"/>
  <c r="Y272" i="40"/>
  <c r="Y212" i="40"/>
  <c r="Y211" i="40"/>
  <c r="Y210" i="40"/>
  <c r="Y209" i="40"/>
  <c r="Y208" i="40"/>
  <c r="Y207" i="40"/>
  <c r="Y206" i="40"/>
  <c r="Y205" i="40"/>
  <c r="Y204" i="40"/>
  <c r="Y203" i="40"/>
  <c r="Y202" i="40"/>
  <c r="Y201" i="40"/>
  <c r="Y200" i="40"/>
  <c r="Y199" i="40"/>
  <c r="Y198" i="40"/>
  <c r="Y197" i="40"/>
  <c r="Y196" i="40"/>
  <c r="Y195" i="40"/>
  <c r="Y194" i="40"/>
  <c r="Y193" i="40"/>
  <c r="Y192" i="40"/>
  <c r="Y213" i="40"/>
  <c r="Y188" i="40"/>
  <c r="Y187" i="40"/>
  <c r="Y186" i="40"/>
  <c r="Y185" i="40"/>
  <c r="Y183" i="40"/>
  <c r="Y182" i="40"/>
  <c r="Y181" i="40"/>
  <c r="Y180" i="40"/>
  <c r="Y179" i="40"/>
  <c r="Y177" i="40"/>
  <c r="Y176" i="40"/>
  <c r="Y175" i="40"/>
  <c r="Y174" i="40"/>
  <c r="Y173" i="40"/>
  <c r="Y172" i="40"/>
  <c r="Y171" i="40"/>
  <c r="Y169" i="40"/>
  <c r="Y168" i="40"/>
  <c r="Y167" i="40"/>
  <c r="Y164" i="40"/>
  <c r="Y163" i="40"/>
  <c r="Y162" i="40"/>
  <c r="Y161" i="40"/>
  <c r="Y160" i="40"/>
  <c r="Y157" i="40"/>
  <c r="Y156" i="40"/>
  <c r="Y155" i="40"/>
  <c r="Y154" i="40"/>
  <c r="Y153" i="40"/>
  <c r="Y152" i="40"/>
  <c r="Y151" i="40"/>
  <c r="Y150" i="40"/>
  <c r="Y149" i="40"/>
  <c r="Y148" i="40"/>
  <c r="Y147" i="40"/>
  <c r="Y146" i="40"/>
  <c r="Y145" i="40"/>
  <c r="Y144" i="40"/>
  <c r="Y143" i="40"/>
  <c r="Y140" i="40"/>
  <c r="Y139" i="40"/>
  <c r="Y138" i="40"/>
  <c r="Y137" i="40"/>
  <c r="Y136" i="40"/>
  <c r="Y135" i="40"/>
  <c r="Y134" i="40"/>
  <c r="Y133" i="40"/>
  <c r="Y132" i="40"/>
  <c r="Y131" i="40"/>
  <c r="Y130" i="40"/>
  <c r="Y129" i="40"/>
  <c r="Y128" i="40"/>
  <c r="Y127" i="40"/>
  <c r="Y126" i="40"/>
  <c r="Y121" i="40"/>
  <c r="Y120" i="40"/>
  <c r="Y119" i="40"/>
  <c r="Y118" i="40"/>
  <c r="Y116" i="40"/>
  <c r="Y115" i="40"/>
  <c r="Y114" i="40"/>
  <c r="Y113" i="40"/>
  <c r="Y112" i="40"/>
  <c r="Y111" i="40"/>
  <c r="Y110" i="40"/>
  <c r="Y109" i="40"/>
  <c r="Y108" i="40"/>
  <c r="Y107" i="40"/>
  <c r="Y106" i="40"/>
  <c r="Y104" i="40"/>
  <c r="Y103" i="40"/>
  <c r="Y102" i="40"/>
  <c r="Y101" i="40"/>
  <c r="Y100" i="40"/>
  <c r="Y99" i="40"/>
  <c r="Y98" i="40"/>
  <c r="Y97" i="40"/>
  <c r="Y96" i="40"/>
  <c r="Y95" i="40"/>
  <c r="Y94" i="40"/>
  <c r="Y90" i="40"/>
  <c r="Y89" i="40"/>
  <c r="Y86" i="40"/>
  <c r="Y85" i="40"/>
  <c r="Y84" i="40"/>
  <c r="Y81" i="40"/>
  <c r="Y80" i="40"/>
  <c r="Y79" i="40"/>
  <c r="Y78" i="40"/>
  <c r="Y75" i="40"/>
  <c r="Y74" i="40"/>
  <c r="Y73" i="40"/>
  <c r="Y71" i="40"/>
  <c r="Y70" i="40"/>
  <c r="Y69" i="40"/>
  <c r="Y68" i="40"/>
  <c r="Y67" i="40"/>
  <c r="Y66" i="40"/>
  <c r="Y65" i="40"/>
  <c r="Y64" i="40"/>
  <c r="Y63" i="40"/>
  <c r="Y62" i="40"/>
  <c r="Y57" i="40"/>
  <c r="Y56" i="40"/>
  <c r="Y55" i="40"/>
  <c r="Y54" i="40"/>
  <c r="Y53" i="40"/>
  <c r="Y52" i="40"/>
  <c r="Y51" i="40"/>
  <c r="Y50" i="40"/>
  <c r="Y49" i="40"/>
  <c r="Y48" i="40"/>
  <c r="Y122" i="40"/>
  <c r="Y33" i="40"/>
  <c r="Y32" i="40"/>
  <c r="Y31" i="40"/>
  <c r="Y30" i="40"/>
  <c r="Y29" i="40"/>
  <c r="Y28" i="40"/>
  <c r="Y27" i="40"/>
  <c r="Y26" i="40"/>
  <c r="Y25" i="40"/>
  <c r="Y24" i="40"/>
  <c r="Y23" i="40"/>
  <c r="Y22" i="40"/>
  <c r="Y20" i="40"/>
  <c r="Y19" i="40"/>
  <c r="Y18" i="40"/>
  <c r="Y17" i="40"/>
  <c r="Y16" i="40"/>
  <c r="Y15" i="40"/>
  <c r="Y14" i="40"/>
  <c r="Y13" i="40"/>
  <c r="Y12" i="40"/>
  <c r="Y11" i="40"/>
  <c r="Y10" i="40"/>
  <c r="Y9" i="40"/>
  <c r="Y8" i="40"/>
  <c r="Y7" i="40"/>
  <c r="Y6" i="40"/>
  <c r="Y5" i="40"/>
  <c r="Y4" i="40"/>
  <c r="Y34" i="40"/>
  <c r="Y80" i="45"/>
  <c r="Y66" i="45"/>
  <c r="Y64" i="45"/>
  <c r="Y63" i="45"/>
  <c r="Y45" i="45"/>
  <c r="Y44" i="45"/>
  <c r="Y43" i="45"/>
  <c r="Y41" i="45"/>
  <c r="Y40" i="45"/>
  <c r="Y39" i="45"/>
  <c r="Y34" i="45"/>
  <c r="Y33" i="45"/>
  <c r="Y97" i="45"/>
  <c r="Y68" i="38"/>
  <c r="Y57" i="38"/>
  <c r="Y14" i="48"/>
  <c r="Y76" i="32"/>
  <c r="AE76" i="32" s="1"/>
  <c r="AE14" i="48"/>
  <c r="Y15" i="48"/>
  <c r="Y21" i="48"/>
  <c r="Y10" i="48"/>
  <c r="Y9" i="48"/>
  <c r="Y6" i="48"/>
  <c r="Y5" i="48"/>
  <c r="AE45" i="40" l="1"/>
  <c r="Y45" i="40" s="1"/>
  <c r="Y47" i="40"/>
  <c r="Y88" i="40"/>
  <c r="Y83" i="40"/>
  <c r="Y72" i="40"/>
  <c r="AE38" i="45"/>
  <c r="AE37" i="45" s="1"/>
  <c r="Y37" i="45" s="1"/>
  <c r="AE32" i="45"/>
  <c r="Y32" i="45" s="1"/>
  <c r="Y38" i="45"/>
  <c r="AD23" i="48"/>
  <c r="AE23" i="48"/>
  <c r="AE43" i="40" l="1"/>
  <c r="Y43" i="40" s="1"/>
  <c r="Y77" i="40"/>
  <c r="AM258" i="51" l="1"/>
  <c r="AM192" i="51"/>
  <c r="AN340" i="40" l="1"/>
  <c r="AN329" i="40"/>
  <c r="AN328" i="40"/>
  <c r="AN327" i="40"/>
  <c r="AN326" i="40"/>
  <c r="AN325" i="40"/>
  <c r="AN324" i="40"/>
  <c r="AN323" i="40"/>
  <c r="AN322" i="40"/>
  <c r="AN321" i="40"/>
  <c r="AN320" i="40"/>
  <c r="AN319" i="40"/>
  <c r="AN318" i="40"/>
  <c r="AN317" i="40"/>
  <c r="AN311" i="40"/>
  <c r="AN303" i="40"/>
  <c r="AN302" i="40"/>
  <c r="AN301" i="40"/>
  <c r="AN300" i="40"/>
  <c r="AN298" i="40"/>
  <c r="AN297" i="40"/>
  <c r="AN296" i="40"/>
  <c r="AN295" i="40"/>
  <c r="AN294" i="40"/>
  <c r="AN293" i="40"/>
  <c r="AN292" i="40"/>
  <c r="AN288" i="40"/>
  <c r="AN287" i="40"/>
  <c r="AN286" i="40"/>
  <c r="AN285" i="40"/>
  <c r="AN283" i="40"/>
  <c r="AN282" i="40"/>
  <c r="AN281" i="40"/>
  <c r="AN280" i="40"/>
  <c r="AN279" i="40"/>
  <c r="AN277" i="40"/>
  <c r="AN276" i="40"/>
  <c r="AN256" i="40"/>
  <c r="AN255" i="40"/>
  <c r="AN254" i="40"/>
  <c r="AN253" i="40"/>
  <c r="AN252" i="40"/>
  <c r="AN251" i="40"/>
  <c r="AN250" i="40"/>
  <c r="AN249" i="40"/>
  <c r="AN248" i="40"/>
  <c r="AN247" i="40"/>
  <c r="AN246" i="40"/>
  <c r="AN245" i="40"/>
  <c r="AN244" i="40"/>
  <c r="AN243" i="40"/>
  <c r="AN242" i="40"/>
  <c r="AN183" i="40"/>
  <c r="AN182" i="40"/>
  <c r="AN181" i="40"/>
  <c r="AN180" i="40"/>
  <c r="AN179" i="40"/>
  <c r="AN156" i="40"/>
  <c r="AN155" i="40"/>
  <c r="AN154" i="40"/>
  <c r="AN153" i="40"/>
  <c r="AN151" i="40"/>
  <c r="AN150" i="40"/>
  <c r="AN149" i="40"/>
  <c r="AN148" i="40"/>
  <c r="AN147" i="40"/>
  <c r="AN146" i="40"/>
  <c r="AN145" i="40"/>
  <c r="AN144" i="40"/>
  <c r="AN143" i="40"/>
  <c r="AN140" i="40"/>
  <c r="AN139" i="40"/>
  <c r="AN138" i="40"/>
  <c r="AN137" i="40"/>
  <c r="AN135" i="40"/>
  <c r="AN134" i="40"/>
  <c r="AN133" i="40"/>
  <c r="AN132" i="40"/>
  <c r="AN131" i="40"/>
  <c r="AN130" i="40"/>
  <c r="AN129" i="40"/>
  <c r="AN128" i="40"/>
  <c r="AN127" i="40"/>
  <c r="AN126" i="40"/>
  <c r="AN116" i="40"/>
  <c r="AN115" i="40"/>
  <c r="AN114" i="40"/>
  <c r="AN113" i="40"/>
  <c r="AN112" i="40"/>
  <c r="AN111" i="40"/>
  <c r="AN110" i="40"/>
  <c r="AN109" i="40"/>
  <c r="AN108" i="40"/>
  <c r="AN107" i="40"/>
  <c r="AD70" i="40"/>
  <c r="AD56" i="40"/>
  <c r="AN34" i="40"/>
  <c r="AN33" i="40"/>
  <c r="AN32" i="40"/>
  <c r="AN31" i="40"/>
  <c r="AN30" i="40"/>
  <c r="AN29" i="40"/>
  <c r="AN24" i="40"/>
  <c r="AN23" i="40"/>
  <c r="AN22" i="40"/>
  <c r="AN21" i="40"/>
  <c r="AN16" i="40"/>
  <c r="AN14" i="40"/>
  <c r="AN13" i="40"/>
  <c r="AN12" i="40"/>
  <c r="AN11" i="40"/>
  <c r="AN10" i="40"/>
  <c r="AN9" i="40"/>
  <c r="AN4" i="40"/>
  <c r="AD17" i="40"/>
  <c r="AN17" i="40" s="1"/>
  <c r="AD25" i="40"/>
  <c r="AN25" i="40" s="1"/>
  <c r="AD27" i="40"/>
  <c r="AN27" i="40" s="1"/>
  <c r="AN15" i="40" l="1"/>
  <c r="AC52" i="40"/>
  <c r="AD66" i="40"/>
  <c r="AD52" i="40"/>
  <c r="AD7" i="40"/>
  <c r="AN7" i="40" s="1"/>
  <c r="AN291" i="40"/>
  <c r="AD6" i="40"/>
  <c r="AN6" i="40" s="1"/>
  <c r="AD18" i="40"/>
  <c r="AN18" i="40" s="1"/>
  <c r="AN152" i="40"/>
  <c r="AD26" i="40"/>
  <c r="AN26" i="40" s="1"/>
  <c r="AN157" i="40"/>
  <c r="AM15" i="40"/>
  <c r="AM321" i="40"/>
  <c r="AM329" i="40"/>
  <c r="AM108" i="40"/>
  <c r="AM116" i="40"/>
  <c r="AM128" i="40"/>
  <c r="AM146" i="40"/>
  <c r="AM154" i="40"/>
  <c r="AM196" i="40"/>
  <c r="AM204" i="40"/>
  <c r="AM212" i="40"/>
  <c r="AM242" i="40"/>
  <c r="AM250" i="40"/>
  <c r="AM278" i="40"/>
  <c r="AM286" i="40"/>
  <c r="AM296" i="40"/>
  <c r="AM12" i="40"/>
  <c r="AM29" i="40"/>
  <c r="AM110" i="40"/>
  <c r="AM130" i="40"/>
  <c r="AM138" i="40"/>
  <c r="AM148" i="40"/>
  <c r="AM156" i="40"/>
  <c r="AM198" i="40"/>
  <c r="AM206" i="40"/>
  <c r="AM244" i="40"/>
  <c r="AM252" i="40"/>
  <c r="AM280" i="40"/>
  <c r="AM288" i="40"/>
  <c r="AM311" i="40"/>
  <c r="AM323" i="40"/>
  <c r="AM14" i="40"/>
  <c r="AM31" i="40"/>
  <c r="AM13" i="40"/>
  <c r="AM30" i="40"/>
  <c r="AM109" i="40"/>
  <c r="AM129" i="40"/>
  <c r="AM137" i="40"/>
  <c r="AM147" i="40"/>
  <c r="AM155" i="40"/>
  <c r="AM197" i="40"/>
  <c r="AM205" i="40"/>
  <c r="AM213" i="40"/>
  <c r="AM243" i="40"/>
  <c r="AM251" i="40"/>
  <c r="AM279" i="40"/>
  <c r="AM287" i="40"/>
  <c r="AM297" i="40"/>
  <c r="AM322" i="40"/>
  <c r="AM16" i="40"/>
  <c r="AM32" i="40"/>
  <c r="AM111" i="40"/>
  <c r="AM131" i="40"/>
  <c r="AM139" i="40"/>
  <c r="AM149" i="40"/>
  <c r="AM157" i="40"/>
  <c r="AM179" i="40"/>
  <c r="AM199" i="40"/>
  <c r="AM207" i="40"/>
  <c r="AM245" i="40"/>
  <c r="AM253" i="40"/>
  <c r="AM281" i="40"/>
  <c r="AM291" i="40"/>
  <c r="AM324" i="40"/>
  <c r="AM4" i="40"/>
  <c r="AM21" i="40"/>
  <c r="AM33" i="40"/>
  <c r="AM112" i="40"/>
  <c r="AM132" i="40"/>
  <c r="AM140" i="40"/>
  <c r="AM150" i="40"/>
  <c r="AM180" i="40"/>
  <c r="AM200" i="40"/>
  <c r="AM208" i="40"/>
  <c r="AM246" i="40"/>
  <c r="AM254" i="40"/>
  <c r="AM282" i="40"/>
  <c r="AM292" i="40"/>
  <c r="AM300" i="40"/>
  <c r="AM317" i="40"/>
  <c r="AM325" i="40"/>
  <c r="AM9" i="40"/>
  <c r="AM22" i="40"/>
  <c r="AM34" i="40"/>
  <c r="AM113" i="40"/>
  <c r="AM133" i="40"/>
  <c r="AM143" i="40"/>
  <c r="AM151" i="40"/>
  <c r="AM181" i="40"/>
  <c r="AM193" i="40"/>
  <c r="AM201" i="40"/>
  <c r="AM209" i="40"/>
  <c r="AM247" i="40"/>
  <c r="AM255" i="40"/>
  <c r="AM283" i="40"/>
  <c r="AM293" i="40"/>
  <c r="AM301" i="40"/>
  <c r="AM318" i="40"/>
  <c r="AM326" i="40"/>
  <c r="AM10" i="40"/>
  <c r="AM23" i="40"/>
  <c r="AM106" i="40"/>
  <c r="AM114" i="40"/>
  <c r="AM126" i="40"/>
  <c r="AM134" i="40"/>
  <c r="AM144" i="40"/>
  <c r="AM152" i="40"/>
  <c r="AM182" i="40"/>
  <c r="AM194" i="40"/>
  <c r="AM202" i="40"/>
  <c r="AM210" i="40"/>
  <c r="AM248" i="40"/>
  <c r="AM256" i="40"/>
  <c r="AM276" i="40"/>
  <c r="AM294" i="40"/>
  <c r="AM302" i="40"/>
  <c r="AM319" i="40"/>
  <c r="AM327" i="40"/>
  <c r="AM340" i="40"/>
  <c r="AM11" i="40"/>
  <c r="AM24" i="40"/>
  <c r="AM107" i="40"/>
  <c r="AM115" i="40"/>
  <c r="AM127" i="40"/>
  <c r="AM135" i="40"/>
  <c r="AM145" i="40"/>
  <c r="AM153" i="40"/>
  <c r="AM183" i="40"/>
  <c r="AM195" i="40"/>
  <c r="AM203" i="40"/>
  <c r="AM211" i="40"/>
  <c r="AM249" i="40"/>
  <c r="AM277" i="40"/>
  <c r="AM285" i="40"/>
  <c r="AM295" i="40"/>
  <c r="AM303" i="40"/>
  <c r="AM320" i="40"/>
  <c r="AM328" i="40"/>
  <c r="AD78" i="40"/>
  <c r="AD72" i="40"/>
  <c r="AD88" i="40"/>
  <c r="AD19" i="40"/>
  <c r="AM298" i="40"/>
  <c r="AD48" i="40"/>
  <c r="AD62" i="40"/>
  <c r="AD5" i="40"/>
  <c r="AM192" i="40"/>
  <c r="AD83" i="40"/>
  <c r="AD28" i="40" l="1"/>
  <c r="AN28" i="40" s="1"/>
  <c r="AD20" i="40"/>
  <c r="AN20" i="40" s="1"/>
  <c r="AN19" i="40"/>
  <c r="AD8" i="40"/>
  <c r="AN8" i="40" s="1"/>
  <c r="AN5" i="40"/>
  <c r="AD47" i="40"/>
  <c r="AD77" i="40"/>
  <c r="AD61" i="40"/>
  <c r="AN211" i="51"/>
  <c r="AN210" i="51"/>
  <c r="AN208" i="51"/>
  <c r="AN206" i="51"/>
  <c r="AN205" i="51"/>
  <c r="AN204" i="51"/>
  <c r="AN203" i="51"/>
  <c r="AN32" i="51"/>
  <c r="AN31" i="51"/>
  <c r="AD13" i="51" l="1"/>
  <c r="AN13" i="51" s="1"/>
  <c r="AN209" i="51"/>
  <c r="AD45" i="40"/>
  <c r="AD43" i="40" s="1"/>
  <c r="AD221" i="51" l="1"/>
  <c r="AD222" i="51"/>
  <c r="AD15" i="51"/>
  <c r="AN15" i="51" s="1"/>
  <c r="AD14" i="51"/>
  <c r="AN14" i="51" s="1"/>
  <c r="AD207" i="51" l="1"/>
  <c r="AN207" i="51" s="1"/>
  <c r="AD32" i="45"/>
  <c r="AD38" i="45"/>
  <c r="AD37" i="45" s="1"/>
  <c r="AL28" i="51"/>
  <c r="AL109" i="45"/>
  <c r="AC59" i="32"/>
  <c r="AM212" i="51" l="1"/>
  <c r="AM211" i="51" l="1"/>
  <c r="AM210" i="51"/>
  <c r="AM209" i="51"/>
  <c r="AM208" i="51"/>
  <c r="AM206" i="51"/>
  <c r="AM205" i="51"/>
  <c r="AM204" i="51"/>
  <c r="AM203" i="51"/>
  <c r="AC207" i="51" l="1"/>
  <c r="AM207" i="51" s="1"/>
  <c r="AC48" i="40" l="1"/>
  <c r="AM32" i="51" l="1"/>
  <c r="AM31" i="51" l="1"/>
  <c r="AL31" i="51"/>
  <c r="AC5" i="40"/>
  <c r="AM5" i="40" s="1"/>
  <c r="AC32" i="45" l="1"/>
  <c r="AC38" i="45" l="1"/>
  <c r="AC37" i="45" s="1"/>
  <c r="AF59" i="32" l="1"/>
  <c r="AC56" i="40"/>
  <c r="AC66" i="40"/>
  <c r="AC70" i="40"/>
  <c r="AC88" i="40"/>
  <c r="AL4" i="40"/>
  <c r="AC47" i="40" l="1"/>
  <c r="AC78" i="40"/>
  <c r="AC62" i="40"/>
  <c r="AC72" i="40"/>
  <c r="AC83" i="40"/>
  <c r="AC77" i="40" l="1"/>
  <c r="AC61" i="40"/>
  <c r="AC45" i="40" s="1"/>
  <c r="AC43" i="40" l="1"/>
  <c r="AC6" i="40"/>
  <c r="AM6" i="40" s="1"/>
  <c r="AC7" i="40"/>
  <c r="AM7" i="40" s="1"/>
  <c r="AC17" i="40"/>
  <c r="AM17" i="40" s="1"/>
  <c r="AC18" i="40"/>
  <c r="AM18" i="40" s="1"/>
  <c r="AC19" i="40"/>
  <c r="AM19" i="40" s="1"/>
  <c r="AC25" i="40"/>
  <c r="AM25" i="40" s="1"/>
  <c r="AC26" i="40"/>
  <c r="AM26" i="40" s="1"/>
  <c r="AC27" i="40"/>
  <c r="AM27" i="40" s="1"/>
  <c r="AC8" i="40" l="1"/>
  <c r="AM8" i="40" s="1"/>
  <c r="AC28" i="40"/>
  <c r="AM28" i="40" s="1"/>
  <c r="AC20" i="40"/>
  <c r="AM20" i="40" s="1"/>
  <c r="AC222" i="51" l="1"/>
  <c r="AC221" i="51"/>
  <c r="AL258" i="51"/>
  <c r="AL192" i="51"/>
  <c r="AC14" i="51"/>
  <c r="AM14" i="51" s="1"/>
  <c r="AC15" i="51"/>
  <c r="AM15" i="51" s="1"/>
  <c r="AC13" i="51"/>
  <c r="AM13" i="51" s="1"/>
  <c r="AC23" i="48" l="1"/>
  <c r="AL34" i="40" l="1"/>
  <c r="AK109" i="45" l="1"/>
  <c r="Y35" i="45" l="1"/>
  <c r="AK12" i="45" l="1"/>
  <c r="T26" i="39" l="1"/>
  <c r="X222" i="51" l="1"/>
  <c r="X221" i="51"/>
  <c r="AE221" i="51"/>
  <c r="AB38" i="45"/>
  <c r="AB37" i="45" s="1"/>
  <c r="AB32" i="45"/>
  <c r="Y221" i="51" l="1"/>
  <c r="AK6" i="32" l="1"/>
  <c r="AK82" i="45" l="1"/>
  <c r="AK83" i="45"/>
  <c r="AK84" i="45"/>
  <c r="AK85" i="45"/>
  <c r="AK87" i="45"/>
  <c r="AK88" i="45"/>
  <c r="AK89" i="45"/>
  <c r="AK90" i="45"/>
  <c r="P48" i="45"/>
  <c r="Q48" i="45"/>
  <c r="M49" i="45"/>
  <c r="N49" i="45"/>
  <c r="R49" i="45"/>
  <c r="R59" i="45"/>
  <c r="L38" i="45"/>
  <c r="L37" i="45" s="1"/>
  <c r="M38" i="45"/>
  <c r="M37" i="45" s="1"/>
  <c r="N38" i="45"/>
  <c r="N37" i="45" s="1"/>
  <c r="O38" i="45"/>
  <c r="O37" i="45" s="1"/>
  <c r="P38" i="45"/>
  <c r="P37" i="45" s="1"/>
  <c r="Q38" i="45"/>
  <c r="Q37" i="45" s="1"/>
  <c r="R38" i="45"/>
  <c r="R37" i="45" s="1"/>
  <c r="S38" i="45"/>
  <c r="S37" i="45" s="1"/>
  <c r="M48" i="45"/>
  <c r="N48" i="45"/>
  <c r="R56" i="45"/>
  <c r="S56" i="45"/>
  <c r="L27" i="45"/>
  <c r="M27" i="45"/>
  <c r="N27" i="45"/>
  <c r="O27" i="45"/>
  <c r="P27" i="45"/>
  <c r="Q27" i="45"/>
  <c r="R27" i="45"/>
  <c r="S27" i="45"/>
  <c r="Q28" i="45"/>
  <c r="R28" i="45"/>
  <c r="S28" i="45"/>
  <c r="Q29" i="45"/>
  <c r="R29" i="45"/>
  <c r="S29" i="45"/>
  <c r="Q30" i="45"/>
  <c r="R30" i="45"/>
  <c r="S30" i="45"/>
  <c r="L48" i="45"/>
  <c r="O48" i="45"/>
  <c r="R48" i="45"/>
  <c r="S48" i="45"/>
  <c r="M56" i="45"/>
  <c r="N56" i="45"/>
  <c r="Q56" i="45"/>
  <c r="AK57" i="45"/>
  <c r="AK58" i="45"/>
  <c r="Q32" i="45"/>
  <c r="R32" i="45"/>
  <c r="S32" i="45"/>
  <c r="L49" i="45"/>
  <c r="O49" i="45"/>
  <c r="P49" i="45"/>
  <c r="Q49" i="45"/>
  <c r="S49" i="45"/>
  <c r="L59" i="45"/>
  <c r="M59" i="45"/>
  <c r="N59" i="45"/>
  <c r="O59" i="45"/>
  <c r="S59" i="45"/>
  <c r="V38" i="45" l="1"/>
  <c r="V55" i="45"/>
  <c r="W55" i="45"/>
  <c r="U55" i="45"/>
  <c r="AB55" i="45"/>
  <c r="T55" i="45"/>
  <c r="W38" i="45"/>
  <c r="W37" i="45" s="1"/>
  <c r="U38" i="45"/>
  <c r="U37" i="45" s="1"/>
  <c r="T38" i="45"/>
  <c r="T32" i="45"/>
  <c r="P32" i="45"/>
  <c r="S53" i="45"/>
  <c r="N55" i="45"/>
  <c r="R53" i="45"/>
  <c r="AK56" i="45"/>
  <c r="M32" i="45"/>
  <c r="U32" i="45"/>
  <c r="N32" i="45"/>
  <c r="O52" i="45"/>
  <c r="W32" i="45"/>
  <c r="L32" i="45"/>
  <c r="R55" i="45"/>
  <c r="V32" i="45"/>
  <c r="Q59" i="45"/>
  <c r="Q55" i="45" s="1"/>
  <c r="Q53" i="45"/>
  <c r="P59" i="45"/>
  <c r="M55" i="45"/>
  <c r="L56" i="45"/>
  <c r="L55" i="45" s="1"/>
  <c r="O32" i="45"/>
  <c r="S55" i="45"/>
  <c r="P56" i="45"/>
  <c r="O56" i="45"/>
  <c r="O55" i="45" s="1"/>
  <c r="N53" i="45" l="1"/>
  <c r="L53" i="45"/>
  <c r="P53" i="45"/>
  <c r="M53" i="45"/>
  <c r="N52" i="45"/>
  <c r="M52" i="45"/>
  <c r="O53" i="45"/>
  <c r="T37" i="45"/>
  <c r="V37" i="45"/>
  <c r="R52" i="45"/>
  <c r="Q52" i="45"/>
  <c r="P55" i="45"/>
  <c r="L52" i="45"/>
  <c r="S52" i="45"/>
  <c r="P52" i="45"/>
  <c r="AF73" i="32" l="1"/>
  <c r="AB71" i="32" l="1"/>
  <c r="W10" i="32" l="1"/>
  <c r="V10" i="32" l="1"/>
  <c r="U10" i="32" l="1"/>
  <c r="T10" i="32" l="1"/>
  <c r="AL213" i="51" l="1"/>
  <c r="AL212" i="51" l="1"/>
  <c r="AL208" i="51" l="1"/>
  <c r="AB216" i="51" l="1"/>
  <c r="AB217" i="51"/>
  <c r="C27" i="50" l="1"/>
  <c r="C7" i="50"/>
  <c r="C30" i="50" l="1"/>
  <c r="C22" i="50"/>
  <c r="C10" i="50"/>
  <c r="C17" i="50"/>
  <c r="AL340" i="40"/>
  <c r="AL318" i="40"/>
  <c r="AL311" i="40"/>
  <c r="AL303" i="40"/>
  <c r="AL302" i="40"/>
  <c r="AL301" i="40"/>
  <c r="AL300" i="40"/>
  <c r="AL298" i="40"/>
  <c r="AL297" i="40"/>
  <c r="AL296" i="40"/>
  <c r="AL295" i="40"/>
  <c r="AL294" i="40"/>
  <c r="AL293" i="40"/>
  <c r="AL292" i="40"/>
  <c r="AL291" i="40"/>
  <c r="AL288" i="40"/>
  <c r="AL287" i="40"/>
  <c r="AL286" i="40"/>
  <c r="AL285" i="40"/>
  <c r="AL283" i="40"/>
  <c r="AL282" i="40"/>
  <c r="AL281" i="40"/>
  <c r="AL280" i="40"/>
  <c r="AL279" i="40"/>
  <c r="AL278" i="40"/>
  <c r="AL277" i="40"/>
  <c r="AL276" i="40"/>
  <c r="AL256" i="40"/>
  <c r="AL255" i="40"/>
  <c r="AL254" i="40"/>
  <c r="AL253" i="40"/>
  <c r="AL252" i="40"/>
  <c r="AL251" i="40"/>
  <c r="AL250" i="40"/>
  <c r="AL249" i="40"/>
  <c r="AL248" i="40"/>
  <c r="AL247" i="40"/>
  <c r="AL246" i="40"/>
  <c r="AL245" i="40"/>
  <c r="AL244" i="40"/>
  <c r="AL243" i="40"/>
  <c r="AL242" i="40"/>
  <c r="AK317" i="40" l="1"/>
  <c r="AL317" i="40"/>
  <c r="AL325" i="40"/>
  <c r="AK325" i="40"/>
  <c r="AL326" i="40"/>
  <c r="AK326" i="40"/>
  <c r="AL319" i="40"/>
  <c r="AK319" i="40"/>
  <c r="AK327" i="40"/>
  <c r="AL327" i="40"/>
  <c r="AK320" i="40"/>
  <c r="AL320" i="40"/>
  <c r="AK328" i="40"/>
  <c r="AL328" i="40"/>
  <c r="AK321" i="40"/>
  <c r="AL321" i="40"/>
  <c r="AK329" i="40"/>
  <c r="AL329" i="40"/>
  <c r="AL322" i="40"/>
  <c r="AK322" i="40"/>
  <c r="AL323" i="40"/>
  <c r="AK323" i="40"/>
  <c r="AK324" i="40"/>
  <c r="AL324" i="40"/>
  <c r="AL213" i="40"/>
  <c r="AL212" i="40"/>
  <c r="AL211" i="40"/>
  <c r="AL210" i="40"/>
  <c r="AL209" i="40"/>
  <c r="AL208" i="40"/>
  <c r="AL207" i="40"/>
  <c r="AL206" i="40"/>
  <c r="AL205" i="40"/>
  <c r="AL204" i="40"/>
  <c r="AL203" i="40"/>
  <c r="AL202" i="40"/>
  <c r="AL201" i="40"/>
  <c r="AL200" i="40"/>
  <c r="AL199" i="40"/>
  <c r="AL198" i="40"/>
  <c r="AL197" i="40"/>
  <c r="AL196" i="40"/>
  <c r="AL195" i="40"/>
  <c r="AL194" i="40"/>
  <c r="AL193" i="40"/>
  <c r="AL183" i="40"/>
  <c r="AL182" i="40"/>
  <c r="AL181" i="40"/>
  <c r="AL180" i="40"/>
  <c r="AL179" i="40"/>
  <c r="AL156" i="40"/>
  <c r="AL155" i="40"/>
  <c r="AL154" i="40"/>
  <c r="AL153" i="40"/>
  <c r="AL152" i="40"/>
  <c r="AL151" i="40"/>
  <c r="AL150" i="40"/>
  <c r="AL149" i="40"/>
  <c r="AL148" i="40"/>
  <c r="AL147" i="40"/>
  <c r="AL146" i="40"/>
  <c r="AL144" i="40"/>
  <c r="AL143" i="40"/>
  <c r="AL140" i="40"/>
  <c r="AL139" i="40"/>
  <c r="AL138" i="40"/>
  <c r="AL137" i="40"/>
  <c r="AL135" i="40"/>
  <c r="AL134" i="40"/>
  <c r="AL133" i="40"/>
  <c r="AL132" i="40"/>
  <c r="AL131" i="40"/>
  <c r="AL130" i="40"/>
  <c r="AL129" i="40"/>
  <c r="AL128" i="40"/>
  <c r="AL127" i="40"/>
  <c r="AL126" i="40"/>
  <c r="AL116" i="40"/>
  <c r="AL115" i="40"/>
  <c r="AL114" i="40"/>
  <c r="AL113" i="40"/>
  <c r="AL112" i="40"/>
  <c r="AL111" i="40"/>
  <c r="AL110" i="40"/>
  <c r="AL109" i="40"/>
  <c r="AL108" i="40"/>
  <c r="AL107" i="40"/>
  <c r="AL106" i="40"/>
  <c r="AB70" i="40"/>
  <c r="AB56" i="40"/>
  <c r="AL33" i="40"/>
  <c r="AL32" i="40"/>
  <c r="AL31" i="40"/>
  <c r="AL30" i="40"/>
  <c r="AL29" i="40"/>
  <c r="AL24" i="40"/>
  <c r="AL23" i="40"/>
  <c r="AL22" i="40"/>
  <c r="AL21" i="40"/>
  <c r="AL16" i="40"/>
  <c r="AL15" i="40"/>
  <c r="AL14" i="40"/>
  <c r="AL13" i="40"/>
  <c r="AL12" i="40"/>
  <c r="AL11" i="40"/>
  <c r="AL10" i="40"/>
  <c r="AL9" i="40"/>
  <c r="AB7" i="40"/>
  <c r="AL7" i="40" s="1"/>
  <c r="AB17" i="40"/>
  <c r="AL17" i="40" s="1"/>
  <c r="AB19" i="40"/>
  <c r="AL19" i="40" s="1"/>
  <c r="AB25" i="40"/>
  <c r="AL25" i="40" s="1"/>
  <c r="AB27" i="40"/>
  <c r="AL27" i="40" s="1"/>
  <c r="AB14" i="48"/>
  <c r="AB18" i="48"/>
  <c r="AB19" i="48" s="1"/>
  <c r="AB6" i="40" l="1"/>
  <c r="AL6" i="40" s="1"/>
  <c r="AL145" i="40"/>
  <c r="AB18" i="40"/>
  <c r="AL18" i="40" s="1"/>
  <c r="AB26" i="40"/>
  <c r="AL26" i="40" s="1"/>
  <c r="AL157" i="40"/>
  <c r="AB5" i="40"/>
  <c r="AL5" i="40" s="1"/>
  <c r="AL192" i="40"/>
  <c r="AB78" i="40"/>
  <c r="AB62" i="40"/>
  <c r="AB83" i="40"/>
  <c r="AB20" i="40"/>
  <c r="AL20" i="40" s="1"/>
  <c r="AB48" i="40"/>
  <c r="AB52" i="40"/>
  <c r="AB66" i="40"/>
  <c r="AB72" i="40"/>
  <c r="AB88" i="40"/>
  <c r="AB28" i="40" l="1"/>
  <c r="AL28" i="40" s="1"/>
  <c r="AB8" i="40"/>
  <c r="AL8" i="40" s="1"/>
  <c r="AB77" i="40"/>
  <c r="AB61" i="40"/>
  <c r="AB47" i="40"/>
  <c r="AB45" i="40" l="1"/>
  <c r="AB43" i="40" s="1"/>
  <c r="AK22" i="39" l="1"/>
  <c r="AK20" i="39"/>
  <c r="AK62" i="32"/>
  <c r="AK72" i="32"/>
  <c r="AO73" i="32" s="1"/>
  <c r="AK71" i="32"/>
  <c r="AK70" i="32"/>
  <c r="AK69" i="32"/>
  <c r="AK68" i="32"/>
  <c r="AK67" i="32"/>
  <c r="AK66" i="32"/>
  <c r="AK65" i="32"/>
  <c r="AK64" i="32"/>
  <c r="AK63" i="32"/>
  <c r="AK61" i="32"/>
  <c r="AK60" i="32"/>
  <c r="AK58" i="32"/>
  <c r="AO59" i="32" s="1"/>
  <c r="AK57" i="32"/>
  <c r="AK56" i="32"/>
  <c r="AK55" i="32"/>
  <c r="AK54" i="32"/>
  <c r="AK53" i="32"/>
  <c r="AK52" i="32"/>
  <c r="AK49" i="32"/>
  <c r="AK44" i="32"/>
  <c r="AK40" i="32"/>
  <c r="AK36" i="32"/>
  <c r="Y23" i="48" l="1"/>
  <c r="AB23" i="48"/>
  <c r="W10" i="51" l="1"/>
  <c r="AK184" i="51" l="1"/>
  <c r="AK255" i="51"/>
  <c r="AK261" i="51"/>
  <c r="AK260" i="51"/>
  <c r="AK259" i="51"/>
  <c r="AK258" i="51"/>
  <c r="AK257" i="51"/>
  <c r="AK256" i="51"/>
  <c r="AK254" i="51"/>
  <c r="AK217" i="51"/>
  <c r="AK216" i="51"/>
  <c r="AK213" i="51"/>
  <c r="AK212" i="51"/>
  <c r="AK208" i="51"/>
  <c r="AK199" i="51"/>
  <c r="AK198" i="51"/>
  <c r="AK197" i="51"/>
  <c r="AK196" i="51"/>
  <c r="AK195" i="51"/>
  <c r="AK194" i="51"/>
  <c r="AK193" i="51"/>
  <c r="AK192" i="51"/>
  <c r="AK191" i="51"/>
  <c r="AK190" i="51"/>
  <c r="AK189" i="51"/>
  <c r="AK188" i="51"/>
  <c r="AK187" i="51"/>
  <c r="AK186" i="51"/>
  <c r="AK185" i="51"/>
  <c r="W197" i="51"/>
  <c r="V197" i="51"/>
  <c r="U197" i="51"/>
  <c r="T197" i="51"/>
  <c r="W188" i="51"/>
  <c r="V188" i="51"/>
  <c r="U188" i="51"/>
  <c r="T188" i="51"/>
  <c r="U216" i="51"/>
  <c r="V15" i="51"/>
  <c r="U15" i="51"/>
  <c r="T15" i="51"/>
  <c r="V14" i="51"/>
  <c r="U14" i="51"/>
  <c r="T14" i="51"/>
  <c r="W13" i="51"/>
  <c r="V13" i="51"/>
  <c r="U13" i="51"/>
  <c r="T13" i="51"/>
  <c r="V12" i="51"/>
  <c r="U12" i="51"/>
  <c r="T12" i="51"/>
  <c r="U11" i="51"/>
  <c r="T11" i="51"/>
  <c r="W216" i="51" l="1"/>
  <c r="V207" i="51"/>
  <c r="U10" i="51"/>
  <c r="T10" i="51"/>
  <c r="U207" i="51"/>
  <c r="T217" i="51"/>
  <c r="U217" i="51"/>
  <c r="W217" i="51"/>
  <c r="V216" i="51"/>
  <c r="V217" i="51"/>
  <c r="T207" i="51"/>
  <c r="W207" i="51"/>
  <c r="T216" i="51"/>
  <c r="AK24" i="39" l="1"/>
  <c r="AK21" i="39"/>
  <c r="AK23" i="39"/>
  <c r="AK25" i="39"/>
  <c r="AK26" i="39"/>
  <c r="AK340" i="40" l="1"/>
  <c r="AK318" i="40"/>
  <c r="AK311" i="40"/>
  <c r="AK292" i="40"/>
  <c r="AK293" i="40"/>
  <c r="AK294" i="40"/>
  <c r="AK295" i="40"/>
  <c r="AK296" i="40"/>
  <c r="AK297" i="40"/>
  <c r="AK298" i="40"/>
  <c r="AK300" i="40"/>
  <c r="AK301" i="40"/>
  <c r="AK302" i="40"/>
  <c r="AK303" i="40"/>
  <c r="AK291" i="40"/>
  <c r="AK285" i="40"/>
  <c r="AK286" i="40"/>
  <c r="AK287" i="40"/>
  <c r="AK288" i="40"/>
  <c r="AK277" i="40"/>
  <c r="AK278" i="40"/>
  <c r="AK279" i="40"/>
  <c r="AK280" i="40"/>
  <c r="AK281" i="40"/>
  <c r="AK282" i="40"/>
  <c r="AK283" i="40"/>
  <c r="AK276" i="40"/>
  <c r="AK243" i="40"/>
  <c r="AK244" i="40"/>
  <c r="AK245" i="40"/>
  <c r="AK246" i="40"/>
  <c r="AK247" i="40"/>
  <c r="AK248" i="40"/>
  <c r="AK249" i="40"/>
  <c r="AK250" i="40"/>
  <c r="AK251" i="40"/>
  <c r="AK252" i="40"/>
  <c r="AK253" i="40"/>
  <c r="AK254" i="40"/>
  <c r="AK255" i="40"/>
  <c r="AK256" i="40"/>
  <c r="AK242" i="40"/>
  <c r="AK207" i="40"/>
  <c r="AK208" i="40"/>
  <c r="AK209" i="40"/>
  <c r="AK210" i="40"/>
  <c r="AK211" i="40"/>
  <c r="AK212" i="40"/>
  <c r="AK213" i="40"/>
  <c r="AK193" i="40"/>
  <c r="AK194" i="40"/>
  <c r="AK195" i="40"/>
  <c r="AK196" i="40"/>
  <c r="AK197" i="40"/>
  <c r="AK198" i="40"/>
  <c r="AK199" i="40"/>
  <c r="AK200" i="40"/>
  <c r="AK201" i="40"/>
  <c r="AK202" i="40"/>
  <c r="AK203" i="40"/>
  <c r="AK204" i="40"/>
  <c r="AK205" i="40"/>
  <c r="AK192" i="40"/>
  <c r="AK180" i="40"/>
  <c r="AK181" i="40"/>
  <c r="AK182" i="40"/>
  <c r="AK183" i="40"/>
  <c r="AK179" i="40"/>
  <c r="AK154" i="40"/>
  <c r="AK155" i="40"/>
  <c r="AK156" i="40"/>
  <c r="AK157" i="40"/>
  <c r="AK144" i="40"/>
  <c r="AK145" i="40"/>
  <c r="AK146" i="40"/>
  <c r="AK147" i="40"/>
  <c r="AK148" i="40"/>
  <c r="AK149" i="40"/>
  <c r="AK150" i="40"/>
  <c r="AK151" i="40"/>
  <c r="AK152" i="40"/>
  <c r="AK143" i="40"/>
  <c r="AK127" i="40"/>
  <c r="AK128" i="40"/>
  <c r="AK129" i="40"/>
  <c r="AK130" i="40"/>
  <c r="AK131" i="40"/>
  <c r="AK132" i="40"/>
  <c r="AK133" i="40"/>
  <c r="AK134" i="40"/>
  <c r="AK135" i="40"/>
  <c r="AK137" i="40"/>
  <c r="AK138" i="40"/>
  <c r="AK139" i="40"/>
  <c r="AK140" i="40"/>
  <c r="AK126" i="40"/>
  <c r="AK116" i="40"/>
  <c r="AK107" i="40"/>
  <c r="AK108" i="40"/>
  <c r="AK109" i="40"/>
  <c r="AK110" i="40"/>
  <c r="AK111" i="40"/>
  <c r="AK112" i="40"/>
  <c r="AK113" i="40"/>
  <c r="AK114" i="40"/>
  <c r="AK115" i="40"/>
  <c r="AK106" i="40"/>
  <c r="AK5" i="40"/>
  <c r="AK6" i="40"/>
  <c r="AK7" i="40"/>
  <c r="AK8" i="40"/>
  <c r="AK9" i="40"/>
  <c r="AK10" i="40"/>
  <c r="AK11" i="40"/>
  <c r="AK12" i="40"/>
  <c r="AK13" i="40"/>
  <c r="AK14" i="40"/>
  <c r="AK15" i="40"/>
  <c r="AK16" i="40"/>
  <c r="AK17" i="40"/>
  <c r="AK18" i="40"/>
  <c r="AK19" i="40"/>
  <c r="AK20" i="40"/>
  <c r="AK21" i="40"/>
  <c r="AK22" i="40"/>
  <c r="AK23" i="40"/>
  <c r="AK24" i="40"/>
  <c r="AK25" i="40"/>
  <c r="AK26" i="40"/>
  <c r="AK27" i="40"/>
  <c r="AK28" i="40"/>
  <c r="AK29" i="40"/>
  <c r="AK30" i="40"/>
  <c r="AK31" i="40"/>
  <c r="AK32" i="40"/>
  <c r="AK33" i="40"/>
  <c r="AK34" i="40"/>
  <c r="AK4" i="40"/>
  <c r="W56" i="40" l="1"/>
  <c r="W70" i="40"/>
  <c r="W10" i="45" l="1"/>
  <c r="W15" i="45" s="1"/>
  <c r="W52" i="40"/>
  <c r="W88" i="40"/>
  <c r="W66" i="40"/>
  <c r="W48" i="40"/>
  <c r="W72" i="40"/>
  <c r="W62" i="40"/>
  <c r="W78" i="40"/>
  <c r="W83" i="40"/>
  <c r="W47" i="40" l="1"/>
  <c r="W77" i="40"/>
  <c r="W61" i="40"/>
  <c r="W45" i="40" l="1"/>
  <c r="W43" i="40" s="1"/>
  <c r="W32" i="46" l="1"/>
  <c r="W31" i="46"/>
  <c r="W248" i="51"/>
  <c r="W246" i="51"/>
  <c r="W244" i="51"/>
  <c r="W242" i="51"/>
  <c r="W90" i="49"/>
  <c r="W81" i="49"/>
  <c r="W70" i="49"/>
  <c r="W64" i="49"/>
  <c r="W38" i="49"/>
  <c r="W36" i="49"/>
  <c r="W29" i="49"/>
  <c r="W31" i="45"/>
  <c r="W30" i="45"/>
  <c r="W29" i="45"/>
  <c r="W28" i="45"/>
  <c r="W27" i="45"/>
  <c r="W26" i="45"/>
  <c r="W18" i="49"/>
  <c r="W12" i="49"/>
  <c r="W32" i="49" l="1"/>
  <c r="W94" i="45" s="1"/>
  <c r="W88" i="49"/>
  <c r="X105" i="45"/>
  <c r="W84" i="49"/>
  <c r="X104" i="45"/>
  <c r="X25" i="45"/>
  <c r="X23" i="45" s="1"/>
  <c r="W95" i="45"/>
  <c r="X95" i="45"/>
  <c r="X93" i="45" s="1"/>
  <c r="W42" i="49"/>
  <c r="W57" i="49"/>
  <c r="W9" i="49"/>
  <c r="W5" i="49"/>
  <c r="W94" i="49"/>
  <c r="W74" i="49"/>
  <c r="W22" i="49"/>
  <c r="W61" i="49"/>
  <c r="W44" i="38" l="1"/>
  <c r="X103" i="45"/>
  <c r="W93" i="45"/>
  <c r="AB59" i="32"/>
  <c r="AB73" i="32"/>
  <c r="W21" i="48"/>
  <c r="W23" i="48" s="1"/>
  <c r="Q96" i="49" l="1"/>
  <c r="S96" i="49"/>
  <c r="R96" i="49"/>
  <c r="U44" i="49" l="1"/>
  <c r="V44" i="49"/>
  <c r="T44" i="49"/>
  <c r="S44" i="49"/>
  <c r="S41" i="49"/>
  <c r="R41" i="49"/>
  <c r="Q41" i="49"/>
  <c r="Q44" i="49"/>
  <c r="R44" i="49"/>
  <c r="C4" i="50" l="1"/>
  <c r="C38" i="50" s="1"/>
  <c r="X14" i="48" l="1"/>
  <c r="X5" i="32" l="1"/>
  <c r="U70" i="49" l="1"/>
  <c r="T70" i="49"/>
  <c r="S70" i="49"/>
  <c r="R70" i="49"/>
  <c r="Q70" i="49"/>
  <c r="P70" i="49"/>
  <c r="O70" i="49"/>
  <c r="N70" i="49"/>
  <c r="M70" i="49"/>
  <c r="L70" i="49"/>
  <c r="K70" i="49"/>
  <c r="J38" i="49"/>
  <c r="K38" i="49"/>
  <c r="L38" i="49"/>
  <c r="M38" i="49"/>
  <c r="P38" i="49"/>
  <c r="V18" i="49"/>
  <c r="U18" i="49"/>
  <c r="T18" i="49"/>
  <c r="S18" i="49"/>
  <c r="R18" i="49"/>
  <c r="Q18" i="49"/>
  <c r="P18" i="49"/>
  <c r="O18" i="49"/>
  <c r="N18" i="49"/>
  <c r="M18" i="49"/>
  <c r="L18" i="49"/>
  <c r="K18" i="49"/>
  <c r="W25" i="40" l="1"/>
  <c r="W27" i="40" l="1"/>
  <c r="W26" i="40"/>
  <c r="W17" i="40" l="1"/>
  <c r="W19" i="40"/>
  <c r="W28" i="40"/>
  <c r="W18" i="40"/>
  <c r="W5" i="40"/>
  <c r="W6" i="40"/>
  <c r="W7" i="40"/>
  <c r="W20" i="40" l="1"/>
  <c r="W8" i="40"/>
  <c r="S73" i="32" l="1"/>
  <c r="R73" i="32"/>
  <c r="Q73" i="32"/>
  <c r="S59" i="32"/>
  <c r="R59" i="32"/>
  <c r="S48" i="32"/>
  <c r="R48" i="32"/>
  <c r="S14" i="32"/>
  <c r="R14" i="32"/>
  <c r="K189" i="49" l="1"/>
  <c r="J189" i="49"/>
  <c r="I189" i="49"/>
  <c r="H189" i="49"/>
  <c r="G189" i="49"/>
  <c r="F189" i="49"/>
  <c r="E189" i="49"/>
  <c r="D189" i="49"/>
  <c r="C189" i="49"/>
  <c r="S184" i="49"/>
  <c r="R184" i="49"/>
  <c r="Q184" i="49"/>
  <c r="S180" i="49"/>
  <c r="R180" i="49"/>
  <c r="Q180" i="49"/>
  <c r="S175" i="49"/>
  <c r="R175" i="49"/>
  <c r="Q175" i="49"/>
  <c r="S152" i="49"/>
  <c r="Q152" i="49"/>
  <c r="K152" i="49"/>
  <c r="J152" i="49"/>
  <c r="I152" i="49"/>
  <c r="H152" i="49"/>
  <c r="G152" i="49"/>
  <c r="F152" i="49"/>
  <c r="E152" i="49"/>
  <c r="D152" i="49"/>
  <c r="C152" i="49"/>
  <c r="R139" i="49"/>
  <c r="R152" i="49" s="1"/>
  <c r="S122" i="49"/>
  <c r="R122" i="49"/>
  <c r="Q122" i="49"/>
  <c r="K122" i="49"/>
  <c r="J122" i="49"/>
  <c r="I122" i="49"/>
  <c r="H122" i="49"/>
  <c r="G122" i="49"/>
  <c r="F122" i="49"/>
  <c r="E122" i="49"/>
  <c r="D122" i="49"/>
  <c r="C122" i="49"/>
  <c r="S94" i="49"/>
  <c r="R93" i="49"/>
  <c r="Q95" i="49"/>
  <c r="Q93" i="49" s="1"/>
  <c r="K94" i="49"/>
  <c r="V90" i="49"/>
  <c r="U90" i="49"/>
  <c r="T90" i="49"/>
  <c r="O90" i="49"/>
  <c r="N90" i="49"/>
  <c r="S90" i="49"/>
  <c r="R90" i="49"/>
  <c r="Q90" i="49"/>
  <c r="P90" i="49"/>
  <c r="M90" i="49"/>
  <c r="L90" i="49"/>
  <c r="K90" i="49"/>
  <c r="J90" i="49"/>
  <c r="V88" i="49"/>
  <c r="U88" i="49"/>
  <c r="T88" i="49"/>
  <c r="S89" i="49"/>
  <c r="S88" i="49" s="1"/>
  <c r="Q89" i="49"/>
  <c r="Q88" i="49" s="1"/>
  <c r="O88" i="49"/>
  <c r="N88" i="49"/>
  <c r="M87" i="49"/>
  <c r="K87" i="49"/>
  <c r="J87" i="49"/>
  <c r="R88" i="49"/>
  <c r="R87" i="49"/>
  <c r="Q87" i="49"/>
  <c r="I87" i="49"/>
  <c r="H87" i="49"/>
  <c r="G87" i="49"/>
  <c r="F87" i="49"/>
  <c r="E87" i="49"/>
  <c r="D87" i="49"/>
  <c r="C87" i="49"/>
  <c r="S84" i="49"/>
  <c r="R84" i="49"/>
  <c r="Q84" i="49"/>
  <c r="V81" i="49"/>
  <c r="U81" i="49"/>
  <c r="T81" i="49"/>
  <c r="P81" i="49"/>
  <c r="O81" i="49"/>
  <c r="N81" i="49"/>
  <c r="M81" i="49"/>
  <c r="L81" i="49"/>
  <c r="K81" i="49"/>
  <c r="J81" i="49"/>
  <c r="S81" i="49"/>
  <c r="R81" i="49"/>
  <c r="Q81" i="49"/>
  <c r="S75" i="49"/>
  <c r="S74" i="49" s="1"/>
  <c r="R75" i="49"/>
  <c r="R74" i="49" s="1"/>
  <c r="Q75" i="49"/>
  <c r="Q74" i="49" s="1"/>
  <c r="I73" i="49"/>
  <c r="H73" i="49"/>
  <c r="G73" i="49"/>
  <c r="F73" i="49"/>
  <c r="E73" i="49"/>
  <c r="E98" i="49" s="1"/>
  <c r="D73" i="49"/>
  <c r="C73" i="49"/>
  <c r="V70" i="49"/>
  <c r="J70" i="49"/>
  <c r="V64" i="49"/>
  <c r="U64" i="49"/>
  <c r="T64" i="49"/>
  <c r="P64" i="49"/>
  <c r="O64" i="49"/>
  <c r="N64" i="49"/>
  <c r="M64" i="49"/>
  <c r="L64" i="49"/>
  <c r="K64" i="49"/>
  <c r="J64" i="49"/>
  <c r="S64" i="49"/>
  <c r="R64" i="49"/>
  <c r="Q64" i="49"/>
  <c r="P61" i="49"/>
  <c r="O61" i="49"/>
  <c r="N61" i="49"/>
  <c r="M61" i="49"/>
  <c r="L61" i="49"/>
  <c r="K61" i="49"/>
  <c r="J61" i="49"/>
  <c r="Q61" i="49"/>
  <c r="P57" i="49"/>
  <c r="O57" i="49"/>
  <c r="N57" i="49"/>
  <c r="M57" i="49"/>
  <c r="L57" i="49"/>
  <c r="K57" i="49"/>
  <c r="J57" i="49"/>
  <c r="Q58" i="49"/>
  <c r="S57" i="49"/>
  <c r="S63" i="49" s="1"/>
  <c r="R57" i="49"/>
  <c r="Q43" i="49"/>
  <c r="R42" i="49"/>
  <c r="O38" i="49"/>
  <c r="N38" i="49"/>
  <c r="S38" i="49"/>
  <c r="R38" i="49"/>
  <c r="Q38" i="49"/>
  <c r="S37" i="49"/>
  <c r="S36" i="49" s="1"/>
  <c r="Q37" i="49"/>
  <c r="Q36" i="49" s="1"/>
  <c r="O36" i="49"/>
  <c r="N36" i="49"/>
  <c r="L35" i="49"/>
  <c r="K36" i="49"/>
  <c r="K35" i="49" s="1"/>
  <c r="J36" i="49"/>
  <c r="J35" i="49" s="1"/>
  <c r="R36" i="49"/>
  <c r="R35" i="49"/>
  <c r="S32" i="49"/>
  <c r="R32" i="49"/>
  <c r="Q32" i="49"/>
  <c r="V29" i="49"/>
  <c r="U29" i="49"/>
  <c r="T29" i="49"/>
  <c r="P29" i="49"/>
  <c r="O29" i="49"/>
  <c r="N29" i="49"/>
  <c r="M29" i="49"/>
  <c r="L29" i="49"/>
  <c r="K29" i="49"/>
  <c r="J29" i="49"/>
  <c r="S29" i="49"/>
  <c r="R29" i="49"/>
  <c r="Q29" i="49"/>
  <c r="V31" i="45"/>
  <c r="U31" i="45"/>
  <c r="T31" i="45"/>
  <c r="P31" i="45"/>
  <c r="O31" i="45"/>
  <c r="N31" i="45"/>
  <c r="M31" i="45"/>
  <c r="L31" i="45"/>
  <c r="V30" i="45"/>
  <c r="U30" i="45"/>
  <c r="T30" i="45"/>
  <c r="P30" i="45"/>
  <c r="O30" i="45"/>
  <c r="N30" i="45"/>
  <c r="M30" i="45"/>
  <c r="L30" i="45"/>
  <c r="V29" i="45"/>
  <c r="U29" i="45"/>
  <c r="T29" i="45"/>
  <c r="P29" i="45"/>
  <c r="O29" i="45"/>
  <c r="N29" i="45"/>
  <c r="M29" i="45"/>
  <c r="L29" i="45"/>
  <c r="V28" i="45"/>
  <c r="U28" i="45"/>
  <c r="T28" i="45"/>
  <c r="P28" i="45"/>
  <c r="O28" i="45"/>
  <c r="N28" i="45"/>
  <c r="M28" i="45"/>
  <c r="L28" i="45"/>
  <c r="V27" i="45"/>
  <c r="U27" i="45"/>
  <c r="T27" i="45"/>
  <c r="V26" i="45"/>
  <c r="U26" i="45"/>
  <c r="T26" i="45"/>
  <c r="S23" i="49"/>
  <c r="R23" i="49"/>
  <c r="Q23" i="49"/>
  <c r="J18" i="49"/>
  <c r="V12" i="49"/>
  <c r="U12" i="49"/>
  <c r="T12" i="49"/>
  <c r="P12" i="49"/>
  <c r="O12" i="49"/>
  <c r="N12" i="49"/>
  <c r="M12" i="49"/>
  <c r="L12" i="49"/>
  <c r="K12" i="49"/>
  <c r="J12" i="49"/>
  <c r="S12" i="49"/>
  <c r="R12" i="49"/>
  <c r="Q12" i="49"/>
  <c r="S11" i="49"/>
  <c r="Q10" i="49"/>
  <c r="Q9" i="49" s="1"/>
  <c r="P9" i="49"/>
  <c r="O10" i="49"/>
  <c r="N9" i="49"/>
  <c r="S9" i="49"/>
  <c r="R9" i="49"/>
  <c r="O9" i="49"/>
  <c r="Q8" i="49"/>
  <c r="O8" i="49"/>
  <c r="O5" i="49" s="1"/>
  <c r="N8" i="49"/>
  <c r="N5" i="49" s="1"/>
  <c r="M8" i="49"/>
  <c r="M5" i="49" s="1"/>
  <c r="L8" i="49"/>
  <c r="L5" i="49" s="1"/>
  <c r="K8" i="49"/>
  <c r="K5" i="49" s="1"/>
  <c r="J8" i="49"/>
  <c r="Q6" i="49"/>
  <c r="P6" i="49"/>
  <c r="S5" i="49"/>
  <c r="R5" i="49"/>
  <c r="P5" i="49"/>
  <c r="J5" i="49"/>
  <c r="V27" i="40"/>
  <c r="U27" i="40"/>
  <c r="T27" i="40"/>
  <c r="S27" i="40"/>
  <c r="R27" i="40"/>
  <c r="Q27" i="40"/>
  <c r="P27" i="40"/>
  <c r="O27" i="40"/>
  <c r="N27" i="40"/>
  <c r="M27" i="40"/>
  <c r="L27" i="40"/>
  <c r="V19" i="40"/>
  <c r="S19" i="40"/>
  <c r="O19" i="40"/>
  <c r="N19" i="40"/>
  <c r="U7" i="40"/>
  <c r="M7" i="40"/>
  <c r="V25" i="40"/>
  <c r="U25" i="40"/>
  <c r="T25" i="40"/>
  <c r="R25" i="40"/>
  <c r="P25" i="40"/>
  <c r="O25" i="40"/>
  <c r="N25" i="40"/>
  <c r="M25" i="40"/>
  <c r="L25" i="40"/>
  <c r="V5" i="40"/>
  <c r="U5" i="40"/>
  <c r="S5" i="40"/>
  <c r="O5" i="40"/>
  <c r="N5" i="40"/>
  <c r="M5" i="40"/>
  <c r="V26" i="40"/>
  <c r="U26" i="40"/>
  <c r="T26" i="40"/>
  <c r="S26" i="40"/>
  <c r="R26" i="40"/>
  <c r="Q26" i="40"/>
  <c r="P26" i="40"/>
  <c r="O26" i="40"/>
  <c r="N26" i="40"/>
  <c r="M26" i="40"/>
  <c r="L26" i="40"/>
  <c r="Q6" i="40"/>
  <c r="V88" i="40"/>
  <c r="U88" i="40"/>
  <c r="T88" i="40"/>
  <c r="S88" i="40"/>
  <c r="R88" i="40"/>
  <c r="Q88" i="40"/>
  <c r="P88" i="40"/>
  <c r="O88" i="40"/>
  <c r="N88" i="40"/>
  <c r="M88" i="40"/>
  <c r="L88" i="40"/>
  <c r="V72" i="40"/>
  <c r="V70" i="40"/>
  <c r="U70" i="40"/>
  <c r="T70" i="40"/>
  <c r="S70" i="40"/>
  <c r="R70" i="40"/>
  <c r="Q70" i="40"/>
  <c r="P70" i="40"/>
  <c r="O70" i="40"/>
  <c r="N70" i="40"/>
  <c r="M70" i="40"/>
  <c r="L70" i="40"/>
  <c r="V56" i="40"/>
  <c r="U56" i="40"/>
  <c r="T56" i="40"/>
  <c r="S56" i="40"/>
  <c r="R56" i="40"/>
  <c r="Q56" i="40"/>
  <c r="P56" i="40"/>
  <c r="O56" i="40"/>
  <c r="N56" i="40"/>
  <c r="M56" i="40"/>
  <c r="L56" i="40"/>
  <c r="U29" i="39"/>
  <c r="U26" i="39"/>
  <c r="S26" i="39"/>
  <c r="R26" i="39"/>
  <c r="Q26" i="39"/>
  <c r="U24" i="39"/>
  <c r="T24" i="39"/>
  <c r="U21" i="39"/>
  <c r="T21" i="39"/>
  <c r="I7" i="39"/>
  <c r="H7" i="39"/>
  <c r="G7" i="39"/>
  <c r="F7" i="39"/>
  <c r="E7" i="39"/>
  <c r="D7" i="39"/>
  <c r="C7" i="39"/>
  <c r="Q70" i="38"/>
  <c r="R17" i="39" s="1"/>
  <c r="S54" i="38"/>
  <c r="S47" i="38"/>
  <c r="R46" i="38"/>
  <c r="S45" i="38"/>
  <c r="R45" i="38"/>
  <c r="L44" i="38"/>
  <c r="K44" i="38"/>
  <c r="J44" i="38"/>
  <c r="I44" i="38"/>
  <c r="H44" i="38"/>
  <c r="G44" i="38"/>
  <c r="F44" i="38"/>
  <c r="E44" i="38"/>
  <c r="D44" i="38"/>
  <c r="C44" i="38"/>
  <c r="S37" i="38"/>
  <c r="R37" i="38"/>
  <c r="Q37" i="38"/>
  <c r="L37" i="38"/>
  <c r="K37" i="38"/>
  <c r="J37" i="38"/>
  <c r="I37" i="38"/>
  <c r="H37" i="38"/>
  <c r="G37" i="38"/>
  <c r="F37" i="38"/>
  <c r="E37" i="38"/>
  <c r="D37" i="38"/>
  <c r="C37" i="38"/>
  <c r="P37" i="38"/>
  <c r="O37" i="38"/>
  <c r="N37" i="38"/>
  <c r="M37" i="38"/>
  <c r="F22" i="38"/>
  <c r="E22" i="38"/>
  <c r="D22" i="38"/>
  <c r="C22" i="38"/>
  <c r="V14" i="48"/>
  <c r="U14" i="48"/>
  <c r="T14" i="48"/>
  <c r="S14" i="48"/>
  <c r="R14" i="48"/>
  <c r="Q14" i="48"/>
  <c r="P14" i="48"/>
  <c r="O14" i="48"/>
  <c r="N14" i="48"/>
  <c r="M14" i="48"/>
  <c r="P73" i="32"/>
  <c r="O73" i="32"/>
  <c r="N73" i="32"/>
  <c r="M73" i="32"/>
  <c r="L73" i="32"/>
  <c r="K73" i="32"/>
  <c r="J73" i="32"/>
  <c r="I73" i="32"/>
  <c r="H73" i="32"/>
  <c r="G73" i="32"/>
  <c r="F73" i="32"/>
  <c r="E73" i="32"/>
  <c r="D73" i="32"/>
  <c r="C73" i="32"/>
  <c r="T73" i="32"/>
  <c r="P71" i="32"/>
  <c r="O71" i="32"/>
  <c r="N71" i="32"/>
  <c r="M71" i="32"/>
  <c r="L71" i="32"/>
  <c r="K71" i="32"/>
  <c r="J71" i="32"/>
  <c r="I71" i="32"/>
  <c r="H71" i="32"/>
  <c r="G71" i="32"/>
  <c r="F71" i="32"/>
  <c r="E71" i="32"/>
  <c r="D71" i="32"/>
  <c r="C71" i="32"/>
  <c r="F59" i="32"/>
  <c r="E59" i="32"/>
  <c r="D59" i="32"/>
  <c r="C59" i="32"/>
  <c r="F48" i="32"/>
  <c r="E48" i="32"/>
  <c r="D48" i="32"/>
  <c r="C48" i="32"/>
  <c r="S35" i="32"/>
  <c r="R35" i="32"/>
  <c r="Q35" i="32"/>
  <c r="P35" i="32"/>
  <c r="O35" i="32"/>
  <c r="N35" i="32"/>
  <c r="M35" i="32"/>
  <c r="L35" i="32"/>
  <c r="K35" i="32"/>
  <c r="J35" i="32"/>
  <c r="I35" i="32"/>
  <c r="H35" i="32"/>
  <c r="G35" i="32"/>
  <c r="F35" i="32"/>
  <c r="E35" i="32"/>
  <c r="D35" i="32"/>
  <c r="C35" i="32"/>
  <c r="Q33" i="32"/>
  <c r="F14" i="32"/>
  <c r="E14" i="32"/>
  <c r="D14" i="32"/>
  <c r="Q14" i="32"/>
  <c r="G14" i="32"/>
  <c r="C14" i="32"/>
  <c r="S5" i="32"/>
  <c r="R5" i="32"/>
  <c r="Q5" i="32"/>
  <c r="P5" i="32"/>
  <c r="O5" i="32"/>
  <c r="N5" i="32"/>
  <c r="M5" i="32"/>
  <c r="L5" i="32"/>
  <c r="K5" i="32"/>
  <c r="J5" i="32"/>
  <c r="I5" i="32"/>
  <c r="H5" i="32"/>
  <c r="G5" i="32"/>
  <c r="F5" i="32"/>
  <c r="E5" i="32"/>
  <c r="D5" i="32"/>
  <c r="C5" i="32"/>
  <c r="V21" i="48"/>
  <c r="V23" i="48" s="1"/>
  <c r="U21" i="48"/>
  <c r="U23" i="48" s="1"/>
  <c r="T21" i="48"/>
  <c r="T23" i="48" s="1"/>
  <c r="S21" i="48"/>
  <c r="S23" i="48" s="1"/>
  <c r="R21" i="48"/>
  <c r="R23" i="48" s="1"/>
  <c r="W18" i="48"/>
  <c r="W19" i="48" s="1"/>
  <c r="V18" i="48"/>
  <c r="U18" i="48"/>
  <c r="T18" i="48"/>
  <c r="S18" i="48"/>
  <c r="W17" i="48"/>
  <c r="V17" i="48"/>
  <c r="U17" i="48"/>
  <c r="T17" i="48"/>
  <c r="S17" i="48"/>
  <c r="R17" i="48"/>
  <c r="Q17" i="48"/>
  <c r="P17" i="48"/>
  <c r="O17" i="48"/>
  <c r="N17" i="48"/>
  <c r="M17" i="48"/>
  <c r="L17" i="48"/>
  <c r="L14" i="48"/>
  <c r="S35" i="49" l="1"/>
  <c r="P32" i="49"/>
  <c r="K84" i="49"/>
  <c r="J32" i="49"/>
  <c r="M84" i="49"/>
  <c r="O32" i="49"/>
  <c r="K32" i="49"/>
  <c r="L32" i="49"/>
  <c r="O84" i="49"/>
  <c r="R71" i="32"/>
  <c r="T14" i="32"/>
  <c r="U95" i="45"/>
  <c r="T42" i="49"/>
  <c r="U84" i="49"/>
  <c r="U96" i="49"/>
  <c r="V95" i="45"/>
  <c r="T32" i="49"/>
  <c r="T94" i="45" s="1"/>
  <c r="T95" i="45"/>
  <c r="T96" i="49"/>
  <c r="Q35" i="49"/>
  <c r="R63" i="49"/>
  <c r="X48" i="32"/>
  <c r="X35" i="32"/>
  <c r="X73" i="32"/>
  <c r="X14" i="32"/>
  <c r="X59" i="32"/>
  <c r="S22" i="49"/>
  <c r="S26" i="45"/>
  <c r="S25" i="45" s="1"/>
  <c r="S23" i="45" s="1"/>
  <c r="Q17" i="39"/>
  <c r="Q21" i="49"/>
  <c r="Q26" i="45"/>
  <c r="Q25" i="45" s="1"/>
  <c r="Q23" i="45" s="1"/>
  <c r="R21" i="49"/>
  <c r="R26" i="45"/>
  <c r="R25" i="45" s="1"/>
  <c r="R23" i="45" s="1"/>
  <c r="U25" i="45"/>
  <c r="U23" i="45" s="1"/>
  <c r="T11" i="32"/>
  <c r="U11" i="32"/>
  <c r="V25" i="45"/>
  <c r="V23" i="45" s="1"/>
  <c r="W9" i="32"/>
  <c r="T25" i="45"/>
  <c r="T23" i="45" s="1"/>
  <c r="V36" i="49"/>
  <c r="V38" i="49"/>
  <c r="T36" i="49"/>
  <c r="T38" i="49"/>
  <c r="U36" i="49"/>
  <c r="U38" i="49"/>
  <c r="T9" i="32"/>
  <c r="N62" i="40"/>
  <c r="L66" i="40"/>
  <c r="S62" i="40"/>
  <c r="I58" i="32"/>
  <c r="L18" i="48"/>
  <c r="T71" i="32"/>
  <c r="Q62" i="40"/>
  <c r="P66" i="40"/>
  <c r="S66" i="40"/>
  <c r="O62" i="40"/>
  <c r="N66" i="40"/>
  <c r="V66" i="40"/>
  <c r="O66" i="40"/>
  <c r="P62" i="40"/>
  <c r="L62" i="40"/>
  <c r="T62" i="40"/>
  <c r="M62" i="40"/>
  <c r="V62" i="40"/>
  <c r="R17" i="40"/>
  <c r="N14" i="32"/>
  <c r="K22" i="38"/>
  <c r="U9" i="49"/>
  <c r="O18" i="48"/>
  <c r="T9" i="49"/>
  <c r="O41" i="49"/>
  <c r="C98" i="49"/>
  <c r="I98" i="49"/>
  <c r="D98" i="49"/>
  <c r="S87" i="49"/>
  <c r="Q5" i="49"/>
  <c r="Q4" i="49" s="1"/>
  <c r="Q73" i="49"/>
  <c r="Q94" i="49"/>
  <c r="S73" i="49"/>
  <c r="R189" i="49"/>
  <c r="G98" i="49"/>
  <c r="R22" i="49"/>
  <c r="P41" i="49"/>
  <c r="O94" i="49"/>
  <c r="O93" i="49"/>
  <c r="P94" i="49"/>
  <c r="P93" i="49"/>
  <c r="M94" i="49"/>
  <c r="M93" i="49"/>
  <c r="N93" i="49"/>
  <c r="N94" i="49"/>
  <c r="O44" i="38"/>
  <c r="J17" i="39"/>
  <c r="W12" i="32"/>
  <c r="W48" i="32"/>
  <c r="O48" i="32"/>
  <c r="P17" i="40"/>
  <c r="N22" i="38"/>
  <c r="O22" i="38"/>
  <c r="P44" i="38"/>
  <c r="L22" i="38"/>
  <c r="M44" i="38"/>
  <c r="H61" i="32"/>
  <c r="O58" i="32"/>
  <c r="J14" i="32"/>
  <c r="Q18" i="48"/>
  <c r="M18" i="48"/>
  <c r="T19" i="48"/>
  <c r="R18" i="48"/>
  <c r="N18" i="48"/>
  <c r="O23" i="48"/>
  <c r="P18" i="48"/>
  <c r="U19" i="48"/>
  <c r="V19" i="48"/>
  <c r="L23" i="48"/>
  <c r="U12" i="32"/>
  <c r="U73" i="32"/>
  <c r="T12" i="32"/>
  <c r="M26" i="45"/>
  <c r="M25" i="45" s="1"/>
  <c r="M23" i="45" s="1"/>
  <c r="R94" i="49"/>
  <c r="F98" i="49"/>
  <c r="Q189" i="49"/>
  <c r="H98" i="49"/>
  <c r="S189" i="49"/>
  <c r="Q42" i="49"/>
  <c r="Q57" i="49"/>
  <c r="S93" i="49"/>
  <c r="S61" i="49"/>
  <c r="R61" i="49"/>
  <c r="S21" i="49"/>
  <c r="Q22" i="49"/>
  <c r="O26" i="45"/>
  <c r="O25" i="45" s="1"/>
  <c r="O23" i="45" s="1"/>
  <c r="J41" i="49"/>
  <c r="J42" i="49"/>
  <c r="T61" i="49"/>
  <c r="N152" i="49"/>
  <c r="T74" i="49"/>
  <c r="O122" i="49"/>
  <c r="R73" i="49"/>
  <c r="O4" i="49"/>
  <c r="O42" i="49"/>
  <c r="R4" i="49"/>
  <c r="N4" i="49"/>
  <c r="S4" i="49"/>
  <c r="S42" i="49"/>
  <c r="T114" i="49"/>
  <c r="Q23" i="48"/>
  <c r="M22" i="38"/>
  <c r="N44" i="38"/>
  <c r="M17" i="39"/>
  <c r="U61" i="49"/>
  <c r="U74" i="49"/>
  <c r="L17" i="39"/>
  <c r="N41" i="49"/>
  <c r="H22" i="38"/>
  <c r="P22" i="38"/>
  <c r="K21" i="32"/>
  <c r="M122" i="49"/>
  <c r="K93" i="49"/>
  <c r="N122" i="49"/>
  <c r="M152" i="49"/>
  <c r="M19" i="40"/>
  <c r="U19" i="40"/>
  <c r="S18" i="40"/>
  <c r="V22" i="49"/>
  <c r="K14" i="32"/>
  <c r="V14" i="32"/>
  <c r="K48" i="32"/>
  <c r="G48" i="32"/>
  <c r="G22" i="38"/>
  <c r="V73" i="32"/>
  <c r="N42" i="49"/>
  <c r="R98" i="49"/>
  <c r="M23" i="48"/>
  <c r="P21" i="32"/>
  <c r="N21" i="32"/>
  <c r="J22" i="38"/>
  <c r="Q44" i="38"/>
  <c r="U5" i="49"/>
  <c r="P4" i="49"/>
  <c r="N23" i="48"/>
  <c r="O14" i="32"/>
  <c r="P42" i="49"/>
  <c r="L56" i="49"/>
  <c r="M73" i="49"/>
  <c r="J94" i="49"/>
  <c r="I14" i="32"/>
  <c r="J21" i="32"/>
  <c r="J56" i="49"/>
  <c r="U57" i="49"/>
  <c r="M56" i="49"/>
  <c r="L73" i="49"/>
  <c r="N74" i="49"/>
  <c r="L122" i="49"/>
  <c r="P122" i="49"/>
  <c r="O152" i="49"/>
  <c r="P23" i="48"/>
  <c r="J9" i="49"/>
  <c r="L36" i="49"/>
  <c r="L94" i="49"/>
  <c r="J48" i="32"/>
  <c r="N17" i="39"/>
  <c r="M9" i="49"/>
  <c r="N35" i="49"/>
  <c r="N48" i="32"/>
  <c r="N58" i="32"/>
  <c r="P36" i="49"/>
  <c r="P35" i="49"/>
  <c r="P56" i="49"/>
  <c r="O74" i="49"/>
  <c r="K74" i="49"/>
  <c r="J88" i="49"/>
  <c r="L14" i="32"/>
  <c r="J84" i="49"/>
  <c r="K88" i="49"/>
  <c r="M14" i="32"/>
  <c r="M21" i="32"/>
  <c r="H48" i="32"/>
  <c r="P58" i="32"/>
  <c r="Q48" i="32"/>
  <c r="V59" i="32"/>
  <c r="G59" i="32"/>
  <c r="K17" i="39"/>
  <c r="L189" i="49"/>
  <c r="L21" i="32"/>
  <c r="K9" i="49"/>
  <c r="L84" i="49"/>
  <c r="L88" i="49"/>
  <c r="L87" i="49"/>
  <c r="O21" i="32"/>
  <c r="P33" i="32"/>
  <c r="G61" i="32"/>
  <c r="L9" i="49"/>
  <c r="K22" i="49"/>
  <c r="J21" i="49"/>
  <c r="L26" i="45"/>
  <c r="L25" i="45" s="1"/>
  <c r="L23" i="45" s="1"/>
  <c r="N26" i="45"/>
  <c r="N25" i="45" s="1"/>
  <c r="N23" i="45" s="1"/>
  <c r="M36" i="49"/>
  <c r="M35" i="49"/>
  <c r="N84" i="49"/>
  <c r="N87" i="49"/>
  <c r="O189" i="49"/>
  <c r="I21" i="32"/>
  <c r="L58" i="32"/>
  <c r="Q71" i="32"/>
  <c r="I22" i="38"/>
  <c r="Q22" i="38"/>
  <c r="O17" i="39"/>
  <c r="T22" i="49"/>
  <c r="M32" i="49"/>
  <c r="O87" i="49"/>
  <c r="J93" i="49"/>
  <c r="P189" i="49"/>
  <c r="J58" i="32"/>
  <c r="S71" i="32"/>
  <c r="T5" i="49"/>
  <c r="U22" i="49"/>
  <c r="N32" i="49"/>
  <c r="O35" i="49"/>
  <c r="O56" i="49"/>
  <c r="N56" i="49"/>
  <c r="P73" i="49"/>
  <c r="J74" i="49"/>
  <c r="P84" i="49"/>
  <c r="P88" i="49"/>
  <c r="P87" i="49"/>
  <c r="P152" i="49"/>
  <c r="T35" i="32"/>
  <c r="T48" i="32"/>
  <c r="W59" i="32"/>
  <c r="W73" i="32"/>
  <c r="Q18" i="40"/>
  <c r="Q17" i="40"/>
  <c r="S7" i="40"/>
  <c r="R19" i="40"/>
  <c r="T84" i="49"/>
  <c r="R18" i="40"/>
  <c r="U35" i="32"/>
  <c r="U48" i="32"/>
  <c r="U14" i="32"/>
  <c r="V35" i="32"/>
  <c r="V48" i="32"/>
  <c r="S17" i="40"/>
  <c r="L19" i="40"/>
  <c r="T19" i="40"/>
  <c r="T57" i="49"/>
  <c r="V84" i="49"/>
  <c r="L18" i="40"/>
  <c r="T18" i="40"/>
  <c r="L17" i="40"/>
  <c r="T17" i="40"/>
  <c r="W14" i="32"/>
  <c r="N7" i="40"/>
  <c r="M18" i="40"/>
  <c r="U18" i="40"/>
  <c r="M17" i="40"/>
  <c r="U17" i="40"/>
  <c r="O7" i="40"/>
  <c r="T59" i="32"/>
  <c r="N18" i="40"/>
  <c r="V18" i="40"/>
  <c r="P7" i="40"/>
  <c r="U59" i="32"/>
  <c r="V7" i="40"/>
  <c r="T10" i="45"/>
  <c r="O18" i="40"/>
  <c r="O17" i="40"/>
  <c r="Q7" i="40"/>
  <c r="P19" i="40"/>
  <c r="U32" i="49"/>
  <c r="U94" i="45" s="1"/>
  <c r="U189" i="49"/>
  <c r="W35" i="32"/>
  <c r="U9" i="32"/>
  <c r="V10" i="45"/>
  <c r="V15" i="45" s="1"/>
  <c r="P18" i="40"/>
  <c r="R7" i="40"/>
  <c r="Q19" i="40"/>
  <c r="V32" i="49"/>
  <c r="V94" i="45" s="1"/>
  <c r="R66" i="40"/>
  <c r="R62" i="40"/>
  <c r="P6" i="40"/>
  <c r="U62" i="40"/>
  <c r="U6" i="40"/>
  <c r="U8" i="40" s="1"/>
  <c r="O6" i="40"/>
  <c r="L5" i="40"/>
  <c r="T5" i="40"/>
  <c r="R5" i="40"/>
  <c r="R6" i="40"/>
  <c r="S6" i="40"/>
  <c r="P5" i="40"/>
  <c r="N6" i="40"/>
  <c r="M6" i="40"/>
  <c r="M8" i="40" s="1"/>
  <c r="L6" i="40"/>
  <c r="T6" i="40"/>
  <c r="Q5" i="40"/>
  <c r="T66" i="40"/>
  <c r="M78" i="40"/>
  <c r="U78" i="40"/>
  <c r="S78" i="40"/>
  <c r="O78" i="40"/>
  <c r="R52" i="40"/>
  <c r="O72" i="40"/>
  <c r="P72" i="40"/>
  <c r="Q72" i="40"/>
  <c r="R72" i="40"/>
  <c r="S72" i="40"/>
  <c r="L72" i="40"/>
  <c r="T72" i="40"/>
  <c r="O52" i="40"/>
  <c r="M72" i="40"/>
  <c r="U72" i="40"/>
  <c r="N72" i="40"/>
  <c r="Q78" i="40"/>
  <c r="S48" i="40"/>
  <c r="P78" i="40"/>
  <c r="P28" i="40"/>
  <c r="N52" i="40"/>
  <c r="V52" i="40"/>
  <c r="R78" i="40"/>
  <c r="L7" i="40"/>
  <c r="T7" i="40"/>
  <c r="N48" i="40"/>
  <c r="V48" i="40"/>
  <c r="O48" i="40"/>
  <c r="V6" i="40"/>
  <c r="Q48" i="40"/>
  <c r="S52" i="40"/>
  <c r="L52" i="40"/>
  <c r="T52" i="40"/>
  <c r="R48" i="40"/>
  <c r="Q25" i="40"/>
  <c r="Q28" i="40" s="1"/>
  <c r="L48" i="40"/>
  <c r="T48" i="40"/>
  <c r="M48" i="40"/>
  <c r="U48" i="40"/>
  <c r="M52" i="40"/>
  <c r="U52" i="40"/>
  <c r="M66" i="40"/>
  <c r="U66" i="40"/>
  <c r="T28" i="40"/>
  <c r="P48" i="40"/>
  <c r="N78" i="40"/>
  <c r="V78" i="40"/>
  <c r="V17" i="40"/>
  <c r="Q66" i="40"/>
  <c r="S83" i="40"/>
  <c r="Q83" i="40"/>
  <c r="R83" i="40"/>
  <c r="N83" i="40"/>
  <c r="V83" i="40"/>
  <c r="O83" i="40"/>
  <c r="L78" i="40"/>
  <c r="T78" i="40"/>
  <c r="P83" i="40"/>
  <c r="L83" i="40"/>
  <c r="T83" i="40"/>
  <c r="M83" i="40"/>
  <c r="U83" i="40"/>
  <c r="V9" i="32"/>
  <c r="S25" i="40"/>
  <c r="S28" i="40" s="1"/>
  <c r="H14" i="32"/>
  <c r="P14" i="32"/>
  <c r="L48" i="32"/>
  <c r="K58" i="32"/>
  <c r="T5" i="32"/>
  <c r="M48" i="32"/>
  <c r="U5" i="32"/>
  <c r="M58" i="32"/>
  <c r="U28" i="40"/>
  <c r="U71" i="32"/>
  <c r="P17" i="39"/>
  <c r="V28" i="40"/>
  <c r="P48" i="32"/>
  <c r="H59" i="32"/>
  <c r="Q52" i="40"/>
  <c r="P52" i="40"/>
  <c r="I48" i="32"/>
  <c r="O28" i="40"/>
  <c r="N17" i="40"/>
  <c r="L28" i="40"/>
  <c r="R28" i="40"/>
  <c r="M28" i="40"/>
  <c r="N28" i="40"/>
  <c r="M88" i="49"/>
  <c r="M189" i="49"/>
  <c r="K41" i="49"/>
  <c r="K42" i="49"/>
  <c r="K56" i="49"/>
  <c r="N189" i="49"/>
  <c r="L41" i="49"/>
  <c r="L42" i="49"/>
  <c r="M41" i="49"/>
  <c r="M42" i="49"/>
  <c r="V57" i="49"/>
  <c r="V94" i="49"/>
  <c r="V9" i="49"/>
  <c r="W14" i="48"/>
  <c r="W11" i="32"/>
  <c r="V71" i="32"/>
  <c r="V74" i="49"/>
  <c r="V5" i="49"/>
  <c r="V61" i="49"/>
  <c r="V5" i="32"/>
  <c r="W5" i="32"/>
  <c r="W71" i="32"/>
  <c r="V42" i="49"/>
  <c r="U94" i="49" l="1"/>
  <c r="V93" i="45"/>
  <c r="U93" i="45"/>
  <c r="T93" i="45"/>
  <c r="L61" i="32"/>
  <c r="Q59" i="32"/>
  <c r="J61" i="32"/>
  <c r="T94" i="49"/>
  <c r="Q48" i="49"/>
  <c r="P22" i="49"/>
  <c r="P26" i="45"/>
  <c r="P25" i="45" s="1"/>
  <c r="P23" i="45" s="1"/>
  <c r="O22" i="49"/>
  <c r="O21" i="49"/>
  <c r="M21" i="49"/>
  <c r="O73" i="49"/>
  <c r="K73" i="49"/>
  <c r="P21" i="49"/>
  <c r="L21" i="49"/>
  <c r="N22" i="49"/>
  <c r="I61" i="32"/>
  <c r="S20" i="40"/>
  <c r="J59" i="32"/>
  <c r="I59" i="32"/>
  <c r="N73" i="49"/>
  <c r="O61" i="32"/>
  <c r="O59" i="32"/>
  <c r="J73" i="49"/>
  <c r="V61" i="40"/>
  <c r="P20" i="40"/>
  <c r="Q8" i="40"/>
  <c r="N21" i="49"/>
  <c r="L74" i="49"/>
  <c r="Q98" i="49"/>
  <c r="M74" i="49"/>
  <c r="S48" i="49"/>
  <c r="O20" i="40"/>
  <c r="L20" i="40"/>
  <c r="R20" i="40"/>
  <c r="M22" i="49"/>
  <c r="P74" i="49"/>
  <c r="R48" i="49"/>
  <c r="S98" i="49"/>
  <c r="J22" i="49"/>
  <c r="N8" i="40"/>
  <c r="Q20" i="40"/>
  <c r="O8" i="40"/>
  <c r="P61" i="32"/>
  <c r="P59" i="32"/>
  <c r="T20" i="40"/>
  <c r="S8" i="40"/>
  <c r="M20" i="40"/>
  <c r="V20" i="40"/>
  <c r="K21" i="49"/>
  <c r="L22" i="49"/>
  <c r="V8" i="40"/>
  <c r="N61" i="32"/>
  <c r="L98" i="49"/>
  <c r="M98" i="49"/>
  <c r="J48" i="49"/>
  <c r="S61" i="40"/>
  <c r="L8" i="40"/>
  <c r="P8" i="40"/>
  <c r="N61" i="40"/>
  <c r="P61" i="40"/>
  <c r="T61" i="40"/>
  <c r="L61" i="40"/>
  <c r="L47" i="40"/>
  <c r="N47" i="40"/>
  <c r="T8" i="40"/>
  <c r="R8" i="40"/>
  <c r="U10" i="45"/>
  <c r="U15" i="45" s="1"/>
  <c r="U20" i="40"/>
  <c r="M61" i="40"/>
  <c r="R77" i="40"/>
  <c r="R47" i="40"/>
  <c r="R61" i="40"/>
  <c r="T77" i="40"/>
  <c r="Q77" i="40"/>
  <c r="S77" i="40"/>
  <c r="V77" i="40"/>
  <c r="U77" i="40"/>
  <c r="N77" i="40"/>
  <c r="M77" i="40"/>
  <c r="L77" i="40"/>
  <c r="P77" i="40"/>
  <c r="O77" i="40"/>
  <c r="M47" i="40"/>
  <c r="Q61" i="40"/>
  <c r="O61" i="40"/>
  <c r="V47" i="40"/>
  <c r="T47" i="40"/>
  <c r="U47" i="40"/>
  <c r="Q47" i="40"/>
  <c r="S47" i="40"/>
  <c r="O47" i="40"/>
  <c r="U61" i="40"/>
  <c r="N20" i="40"/>
  <c r="U42" i="49"/>
  <c r="P47" i="40"/>
  <c r="M59" i="32"/>
  <c r="M61" i="32"/>
  <c r="P98" i="49"/>
  <c r="K59" i="32"/>
  <c r="N59" i="32"/>
  <c r="L59" i="32"/>
  <c r="K61" i="32"/>
  <c r="K98" i="49" l="1"/>
  <c r="M48" i="49"/>
  <c r="L48" i="49"/>
  <c r="O48" i="49"/>
  <c r="O98" i="49"/>
  <c r="P48" i="49"/>
  <c r="N98" i="49"/>
  <c r="J98" i="49"/>
  <c r="V45" i="40"/>
  <c r="V43" i="40" s="1"/>
  <c r="N48" i="49"/>
  <c r="K48" i="49"/>
  <c r="S45" i="40"/>
  <c r="S43" i="40" s="1"/>
  <c r="N45" i="40"/>
  <c r="N43" i="40" s="1"/>
  <c r="P45" i="40"/>
  <c r="P43" i="40" s="1"/>
  <c r="L45" i="40"/>
  <c r="L43" i="40" s="1"/>
  <c r="M45" i="40"/>
  <c r="M43" i="40" s="1"/>
  <c r="U45" i="40"/>
  <c r="U43" i="40" s="1"/>
  <c r="T45" i="40"/>
  <c r="T43" i="40" s="1"/>
  <c r="R45" i="40"/>
  <c r="R43" i="40" s="1"/>
  <c r="O45" i="40"/>
  <c r="O43" i="40" s="1"/>
  <c r="Q45" i="40"/>
  <c r="Q43" i="40" s="1"/>
  <c r="U122" i="51" l="1"/>
  <c r="U245" i="51"/>
  <c r="V247" i="51"/>
  <c r="V136" i="51"/>
  <c r="V232" i="51"/>
  <c r="V166" i="51"/>
  <c r="V230" i="51"/>
  <c r="U126" i="51"/>
  <c r="U180" i="51"/>
  <c r="V140" i="51"/>
  <c r="U124" i="51"/>
  <c r="U166" i="51"/>
  <c r="U249" i="51"/>
  <c r="U136" i="51"/>
  <c r="W168" i="51"/>
  <c r="W230" i="51"/>
  <c r="W245" i="51"/>
  <c r="V122" i="51"/>
  <c r="W124" i="51"/>
  <c r="V126" i="51"/>
  <c r="U140" i="51"/>
  <c r="W178" i="51"/>
  <c r="V180" i="51"/>
  <c r="W138" i="51"/>
  <c r="U168" i="51"/>
  <c r="U230" i="51"/>
  <c r="W247" i="51"/>
  <c r="V249" i="51"/>
  <c r="W166" i="51"/>
  <c r="V168" i="51"/>
  <c r="W232" i="51"/>
  <c r="U178" i="51"/>
  <c r="V245" i="51"/>
  <c r="W122" i="51"/>
  <c r="V124" i="51"/>
  <c r="W126" i="51"/>
  <c r="U138" i="51"/>
  <c r="V178" i="51"/>
  <c r="W180" i="51"/>
  <c r="W86" i="51"/>
  <c r="W136" i="51"/>
  <c r="V138" i="51"/>
  <c r="W140" i="51"/>
  <c r="W249" i="51"/>
  <c r="U232" i="51"/>
  <c r="U247" i="51"/>
  <c r="V86" i="51"/>
  <c r="U38" i="51" l="1"/>
  <c r="U88" i="51"/>
  <c r="T38" i="51"/>
  <c r="U92" i="51"/>
  <c r="U63" i="51"/>
  <c r="W90" i="51"/>
  <c r="V90" i="51"/>
  <c r="V92" i="51"/>
  <c r="V228" i="51"/>
  <c r="U243" i="51"/>
  <c r="V88" i="51"/>
  <c r="W176" i="51"/>
  <c r="U61" i="51"/>
  <c r="V176" i="51"/>
  <c r="V243" i="51"/>
  <c r="U120" i="51"/>
  <c r="V134" i="51"/>
  <c r="U164" i="51"/>
  <c r="W134" i="51"/>
  <c r="U90" i="51"/>
  <c r="W59" i="51"/>
  <c r="U176" i="51"/>
  <c r="V120" i="51"/>
  <c r="W92" i="51"/>
  <c r="W228" i="51"/>
  <c r="U59" i="51"/>
  <c r="W120" i="51"/>
  <c r="W88" i="51"/>
  <c r="V59" i="51"/>
  <c r="W243" i="51"/>
  <c r="W63" i="51"/>
  <c r="U134" i="51"/>
  <c r="U86" i="51"/>
  <c r="U228" i="51"/>
  <c r="V63" i="51"/>
  <c r="V38" i="51" l="1"/>
  <c r="W38" i="51" l="1"/>
  <c r="V164" i="51" l="1"/>
  <c r="W164" i="51"/>
  <c r="V61" i="51"/>
  <c r="W61" i="51"/>
  <c r="AB156" i="51" l="1"/>
  <c r="AB111" i="51" l="1"/>
  <c r="AB37" i="51"/>
  <c r="AB109" i="51"/>
  <c r="AB110" i="51" l="1"/>
  <c r="AB36" i="51"/>
  <c r="AK4" i="45" l="1"/>
  <c r="AB221" i="51" l="1"/>
  <c r="AB123" i="51" l="1"/>
  <c r="AB57" i="51"/>
  <c r="AK152" i="51"/>
  <c r="AB12" i="49"/>
  <c r="AB137" i="51"/>
  <c r="AB138" i="51" s="1"/>
  <c r="AK8" i="39"/>
  <c r="AK5" i="51"/>
  <c r="AK7" i="51"/>
  <c r="AB38" i="49"/>
  <c r="AB28" i="45"/>
  <c r="AB104" i="45"/>
  <c r="AK104" i="45" s="1"/>
  <c r="AK8" i="51"/>
  <c r="AB135" i="51"/>
  <c r="AB136" i="51" s="1"/>
  <c r="AK13" i="39"/>
  <c r="AK30" i="39"/>
  <c r="AB64" i="49"/>
  <c r="AK12" i="39"/>
  <c r="AB27" i="45"/>
  <c r="AK14" i="39"/>
  <c r="AK99" i="51"/>
  <c r="AB139" i="51"/>
  <c r="AB140" i="51" s="1"/>
  <c r="AB165" i="51"/>
  <c r="AB166" i="51" s="1"/>
  <c r="AK106" i="51"/>
  <c r="AK148" i="51"/>
  <c r="AB29" i="45"/>
  <c r="AK105" i="51"/>
  <c r="AK147" i="51"/>
  <c r="AK145" i="51"/>
  <c r="AK30" i="51"/>
  <c r="AB70" i="49"/>
  <c r="AB244" i="51"/>
  <c r="AB245" i="51" s="1"/>
  <c r="AK26" i="32"/>
  <c r="AK17" i="51"/>
  <c r="AK27" i="51"/>
  <c r="AK146" i="51"/>
  <c r="AB125" i="51"/>
  <c r="AF126" i="51" s="1"/>
  <c r="AB90" i="49"/>
  <c r="AB81" i="49"/>
  <c r="AB121" i="51"/>
  <c r="AK4" i="51"/>
  <c r="AK9" i="51"/>
  <c r="AK26" i="51"/>
  <c r="AB246" i="51"/>
  <c r="AB247" i="51" s="1"/>
  <c r="AK96" i="51"/>
  <c r="AB18" i="49"/>
  <c r="AB105" i="45"/>
  <c r="AK149" i="51"/>
  <c r="AB177" i="51"/>
  <c r="AB178" i="51" s="1"/>
  <c r="AK7" i="45"/>
  <c r="AK29" i="51"/>
  <c r="AK6" i="39"/>
  <c r="AB94" i="49"/>
  <c r="AK21" i="51"/>
  <c r="AL40" i="40"/>
  <c r="AB122" i="51" l="1"/>
  <c r="AF122" i="51"/>
  <c r="AB124" i="51"/>
  <c r="AF124" i="51"/>
  <c r="Y105" i="45"/>
  <c r="AK105" i="45"/>
  <c r="AK33" i="39"/>
  <c r="AK31" i="39"/>
  <c r="AK38" i="40"/>
  <c r="AL38" i="40"/>
  <c r="AK39" i="40"/>
  <c r="AL39" i="40"/>
  <c r="AK37" i="40"/>
  <c r="AL37" i="40"/>
  <c r="AK9" i="39"/>
  <c r="AL9" i="39"/>
  <c r="AK4" i="32"/>
  <c r="AB5" i="32"/>
  <c r="AB103" i="45"/>
  <c r="AK103" i="45" s="1"/>
  <c r="AB220" i="51"/>
  <c r="AB222" i="51"/>
  <c r="AB70" i="51"/>
  <c r="AB235" i="51"/>
  <c r="AB71" i="51"/>
  <c r="AB236" i="51"/>
  <c r="AB74" i="51"/>
  <c r="AB239" i="51"/>
  <c r="AB45" i="51"/>
  <c r="AB225" i="51"/>
  <c r="AB91" i="51"/>
  <c r="AF92" i="51" s="1"/>
  <c r="AO92" i="51" s="1"/>
  <c r="AB242" i="51"/>
  <c r="AB243" i="51" s="1"/>
  <c r="AB264" i="51"/>
  <c r="AB62" i="51"/>
  <c r="AB63" i="51" s="1"/>
  <c r="AB227" i="51"/>
  <c r="AB228" i="51" s="1"/>
  <c r="AB46" i="51"/>
  <c r="AB267" i="51"/>
  <c r="AB130" i="51"/>
  <c r="AB78" i="51"/>
  <c r="AB161" i="51"/>
  <c r="AB55" i="51"/>
  <c r="AB171" i="51"/>
  <c r="AB68" i="51"/>
  <c r="AB42" i="51"/>
  <c r="AB114" i="51"/>
  <c r="AB173" i="51"/>
  <c r="AB83" i="51"/>
  <c r="AB117" i="51"/>
  <c r="AB54" i="51"/>
  <c r="AB133" i="51"/>
  <c r="AB134" i="51" s="1"/>
  <c r="AB87" i="51"/>
  <c r="AF88" i="51" s="1"/>
  <c r="AO88" i="51" s="1"/>
  <c r="AB116" i="51"/>
  <c r="AB53" i="51"/>
  <c r="AB42" i="49"/>
  <c r="AK14" i="45"/>
  <c r="AK6" i="45"/>
  <c r="AB179" i="51"/>
  <c r="AB180" i="51" s="1"/>
  <c r="AK13" i="45"/>
  <c r="AK6" i="51"/>
  <c r="AB30" i="45"/>
  <c r="AB5" i="49"/>
  <c r="AK15" i="39"/>
  <c r="AK22" i="32"/>
  <c r="AK30" i="32"/>
  <c r="AK153" i="51"/>
  <c r="AB231" i="51"/>
  <c r="AB232" i="51" s="1"/>
  <c r="AB31" i="45"/>
  <c r="AK12" i="51"/>
  <c r="AK151" i="51"/>
  <c r="AK40" i="40"/>
  <c r="AK144" i="51"/>
  <c r="AK11" i="45"/>
  <c r="AB88" i="49"/>
  <c r="AK8" i="45"/>
  <c r="AB167" i="51"/>
  <c r="AB168" i="51" s="1"/>
  <c r="AB29" i="49"/>
  <c r="AK35" i="39"/>
  <c r="AK100" i="51"/>
  <c r="AK17" i="39"/>
  <c r="AK15" i="32"/>
  <c r="AK103" i="51"/>
  <c r="AK5" i="45"/>
  <c r="AB32" i="49"/>
  <c r="AK16" i="51"/>
  <c r="AB229" i="51"/>
  <c r="AB230" i="51" s="1"/>
  <c r="AB84" i="49"/>
  <c r="AK104" i="51"/>
  <c r="AB61" i="49"/>
  <c r="AB248" i="51"/>
  <c r="AB249" i="51" s="1"/>
  <c r="AK102" i="51"/>
  <c r="AK10" i="39"/>
  <c r="AK29" i="39"/>
  <c r="AB44" i="51"/>
  <c r="AB36" i="49"/>
  <c r="AB95" i="45"/>
  <c r="AB26" i="45"/>
  <c r="AK25" i="51"/>
  <c r="AB94" i="45" l="1"/>
  <c r="AB25" i="45"/>
  <c r="AB23" i="45" s="1"/>
  <c r="AK34" i="39"/>
  <c r="AK32" i="39"/>
  <c r="AB88" i="51"/>
  <c r="AK88" i="51" s="1"/>
  <c r="AK264" i="51"/>
  <c r="AB92" i="51"/>
  <c r="AK92" i="51" s="1"/>
  <c r="AK267" i="51"/>
  <c r="AB93" i="45"/>
  <c r="AK91" i="51"/>
  <c r="AB10" i="32"/>
  <c r="AB73" i="51"/>
  <c r="AB238" i="51"/>
  <c r="AB72" i="51"/>
  <c r="AB237" i="51"/>
  <c r="AB75" i="51"/>
  <c r="AB240" i="51"/>
  <c r="AB119" i="51"/>
  <c r="AB58" i="51"/>
  <c r="AB59" i="51" s="1"/>
  <c r="AK87" i="51"/>
  <c r="AB163" i="51"/>
  <c r="AB164" i="51" s="1"/>
  <c r="AB60" i="51"/>
  <c r="AB61" i="51" s="1"/>
  <c r="AB43" i="51"/>
  <c r="AB159" i="51"/>
  <c r="AB129" i="51"/>
  <c r="AB67" i="51"/>
  <c r="AB175" i="51"/>
  <c r="AB176" i="51" s="1"/>
  <c r="AB89" i="51"/>
  <c r="AF90" i="51" s="1"/>
  <c r="AO90" i="51" s="1"/>
  <c r="AB22" i="49"/>
  <c r="AB74" i="49"/>
  <c r="AB57" i="49"/>
  <c r="AB85" i="51"/>
  <c r="AF86" i="51" s="1"/>
  <c r="AO86" i="51" s="1"/>
  <c r="AK7" i="39"/>
  <c r="AK28" i="51"/>
  <c r="AK22" i="51"/>
  <c r="AK101" i="51"/>
  <c r="AB9" i="49"/>
  <c r="AK11" i="51"/>
  <c r="AK10" i="51"/>
  <c r="AB41" i="51"/>
  <c r="AB120" i="51" l="1"/>
  <c r="AF120" i="51"/>
  <c r="AK10" i="32"/>
  <c r="AB90" i="51"/>
  <c r="AK90" i="51" s="1"/>
  <c r="AB86" i="51"/>
  <c r="AK86" i="51" s="1"/>
  <c r="AK89" i="51"/>
  <c r="AK85" i="51"/>
  <c r="AK10" i="45"/>
  <c r="AK16" i="39" l="1"/>
  <c r="AK11" i="39"/>
  <c r="X229" i="51" l="1"/>
  <c r="X230" i="51" s="1"/>
  <c r="X220" i="51"/>
  <c r="X231" i="51"/>
  <c r="X232" i="51" s="1"/>
  <c r="X167" i="51"/>
  <c r="X168" i="51" s="1"/>
  <c r="X165" i="51"/>
  <c r="X166" i="51" s="1"/>
  <c r="X177" i="51"/>
  <c r="X178" i="51" s="1"/>
  <c r="X121" i="51"/>
  <c r="X122" i="51" s="1"/>
  <c r="X137" i="51"/>
  <c r="X138" i="51" s="1"/>
  <c r="X135" i="51"/>
  <c r="X136" i="51" s="1"/>
  <c r="X57" i="51"/>
  <c r="X123" i="51"/>
  <c r="X124" i="51" s="1"/>
  <c r="X139" i="51"/>
  <c r="X140" i="51" s="1"/>
  <c r="X125" i="51"/>
  <c r="X126" i="51" s="1"/>
  <c r="X227" i="51" l="1"/>
  <c r="X62" i="51"/>
  <c r="X63" i="51" s="1"/>
  <c r="X236" i="51"/>
  <c r="X71" i="51"/>
  <c r="X267" i="51"/>
  <c r="X46" i="51"/>
  <c r="X171" i="51"/>
  <c r="X68" i="51"/>
  <c r="X114" i="51"/>
  <c r="X42" i="51"/>
  <c r="X53" i="51"/>
  <c r="X116" i="51"/>
  <c r="X45" i="51"/>
  <c r="X225" i="51"/>
  <c r="X58" i="51"/>
  <c r="X59" i="51" s="1"/>
  <c r="X119" i="51"/>
  <c r="X117" i="51"/>
  <c r="X54" i="51"/>
  <c r="X43" i="51"/>
  <c r="X159" i="51"/>
  <c r="X74" i="51"/>
  <c r="X239" i="51"/>
  <c r="X237" i="51"/>
  <c r="X72" i="51"/>
  <c r="X240" i="51"/>
  <c r="X75" i="51"/>
  <c r="X129" i="51"/>
  <c r="X67" i="51"/>
  <c r="X242" i="51"/>
  <c r="X91" i="51"/>
  <c r="X92" i="51" s="1"/>
  <c r="AK59" i="32"/>
  <c r="AK73" i="32"/>
  <c r="X264" i="51"/>
  <c r="X248" i="51"/>
  <c r="X249" i="51" s="1"/>
  <c r="X244" i="51"/>
  <c r="X245" i="51" s="1"/>
  <c r="X246" i="51"/>
  <c r="X247" i="51" s="1"/>
  <c r="X179" i="51"/>
  <c r="X180" i="51" s="1"/>
  <c r="X41" i="51"/>
  <c r="AB126" i="51"/>
  <c r="X85" i="51"/>
  <c r="X44" i="51"/>
  <c r="AK5" i="32"/>
  <c r="X120" i="51" l="1"/>
  <c r="X55" i="51"/>
  <c r="X161" i="51"/>
  <c r="X86" i="51"/>
  <c r="X89" i="51"/>
  <c r="X90" i="51" s="1"/>
  <c r="X175" i="51"/>
  <c r="X238" i="51"/>
  <c r="X73" i="51"/>
  <c r="X243" i="51"/>
  <c r="X60" i="51"/>
  <c r="X61" i="51" s="1"/>
  <c r="X163" i="51"/>
  <c r="X78" i="51"/>
  <c r="X130" i="51"/>
  <c r="X79" i="51"/>
  <c r="X172" i="51"/>
  <c r="X87" i="51"/>
  <c r="X88" i="51" s="1"/>
  <c r="X133" i="51"/>
  <c r="X235" i="51"/>
  <c r="X70" i="51"/>
  <c r="X228" i="51"/>
  <c r="W25" i="45"/>
  <c r="W23" i="45" s="1"/>
  <c r="X164" i="51" l="1"/>
  <c r="X176" i="51"/>
  <c r="X134" i="51"/>
  <c r="AL211" i="51" l="1"/>
  <c r="AB15" i="51"/>
  <c r="AL210" i="51"/>
  <c r="AB14" i="51"/>
  <c r="AK203" i="51"/>
  <c r="AL203" i="51"/>
  <c r="AK204" i="51"/>
  <c r="AL204" i="51"/>
  <c r="AK210" i="51"/>
  <c r="AK211" i="51"/>
  <c r="AL205" i="51"/>
  <c r="AL209" i="51" l="1"/>
  <c r="AB13" i="51"/>
  <c r="AK15" i="51"/>
  <c r="AL15" i="51"/>
  <c r="AK14" i="51"/>
  <c r="AL14" i="51"/>
  <c r="AK206" i="51"/>
  <c r="AL206" i="51"/>
  <c r="AK202" i="51"/>
  <c r="AL202" i="51"/>
  <c r="AB207" i="51"/>
  <c r="AK205" i="51"/>
  <c r="AK209" i="51"/>
  <c r="AK13" i="51" l="1"/>
  <c r="AL13" i="51"/>
  <c r="AK207" i="51"/>
  <c r="AL207" i="51"/>
  <c r="AK32" i="51" l="1"/>
  <c r="AL32" i="51"/>
  <c r="AK31" i="51" l="1"/>
  <c r="AK20" i="32" l="1"/>
  <c r="V11" i="51" l="1"/>
  <c r="V10" i="51" s="1"/>
  <c r="V11" i="32" l="1"/>
  <c r="V12" i="32" l="1"/>
  <c r="AC14" i="48" l="1"/>
  <c r="AL6" i="32" l="1"/>
  <c r="AL4" i="32"/>
  <c r="AL5" i="32" s="1"/>
  <c r="AL12" i="45"/>
  <c r="AL10" i="45"/>
  <c r="AC5" i="32"/>
  <c r="AL35" i="39"/>
  <c r="AC35" i="32" l="1"/>
  <c r="AL4" i="45" l="1"/>
  <c r="AC110" i="51" l="1"/>
  <c r="AC111" i="51" l="1"/>
  <c r="AC109" i="51" l="1"/>
  <c r="AC36" i="51"/>
  <c r="AC156" i="51" l="1"/>
  <c r="AC37" i="51"/>
  <c r="AL36" i="32" l="1"/>
  <c r="AL184" i="51" l="1"/>
  <c r="AC38" i="32" l="1"/>
  <c r="AL254" i="51" l="1"/>
  <c r="AL100" i="51"/>
  <c r="AL99" i="51"/>
  <c r="AC81" i="49"/>
  <c r="AC236" i="51" l="1"/>
  <c r="AC71" i="51"/>
  <c r="AC74" i="51"/>
  <c r="AC239" i="51"/>
  <c r="AC240" i="51"/>
  <c r="AC75" i="51"/>
  <c r="AC55" i="51"/>
  <c r="AC161" i="51"/>
  <c r="AC216" i="51"/>
  <c r="AL185" i="51"/>
  <c r="AC114" i="51"/>
  <c r="AC42" i="51"/>
  <c r="AC55" i="45"/>
  <c r="AL56" i="45"/>
  <c r="AL4" i="51"/>
  <c r="AL216" i="51" l="1"/>
  <c r="AC238" i="51"/>
  <c r="AC73" i="51"/>
  <c r="AC46" i="51"/>
  <c r="AC267" i="51"/>
  <c r="AL267" i="51" s="1"/>
  <c r="AL33" i="39"/>
  <c r="AL198" i="51"/>
  <c r="AL5" i="45"/>
  <c r="AC57" i="51"/>
  <c r="AL13" i="45"/>
  <c r="AC264" i="51"/>
  <c r="AL31" i="39"/>
  <c r="AL6" i="45"/>
  <c r="AL32" i="39"/>
  <c r="AL14" i="45"/>
  <c r="AL199" i="51"/>
  <c r="AL8" i="45"/>
  <c r="AL264" i="51" l="1"/>
  <c r="AL30" i="39"/>
  <c r="AC61" i="49"/>
  <c r="AL5" i="51"/>
  <c r="AL7" i="51"/>
  <c r="AL9" i="51"/>
  <c r="AL34" i="39"/>
  <c r="AL27" i="51"/>
  <c r="AC90" i="49"/>
  <c r="AC121" i="51"/>
  <c r="AC122" i="51" s="1"/>
  <c r="AL8" i="51"/>
  <c r="AL152" i="51"/>
  <c r="AL88" i="45"/>
  <c r="AL196" i="51"/>
  <c r="AC38" i="49"/>
  <c r="AL16" i="51"/>
  <c r="AL83" i="45"/>
  <c r="AC30" i="45"/>
  <c r="AL10" i="39"/>
  <c r="AL105" i="51"/>
  <c r="AL256" i="51"/>
  <c r="AC123" i="51"/>
  <c r="AC124" i="51" s="1"/>
  <c r="AL22" i="39"/>
  <c r="AL22" i="51"/>
  <c r="AL15" i="39"/>
  <c r="AC135" i="51"/>
  <c r="AC136" i="51" s="1"/>
  <c r="AL257" i="51"/>
  <c r="AL255" i="51"/>
  <c r="AL147" i="51"/>
  <c r="AL29" i="51"/>
  <c r="AC137" i="51"/>
  <c r="AC138" i="51" s="1"/>
  <c r="AC64" i="49"/>
  <c r="AL153" i="51"/>
  <c r="AC246" i="51"/>
  <c r="AC247" i="51" s="1"/>
  <c r="AL186" i="51"/>
  <c r="AC27" i="45"/>
  <c r="AL261" i="51"/>
  <c r="AL26" i="51"/>
  <c r="AL30" i="51"/>
  <c r="AL148" i="51"/>
  <c r="AC31" i="45"/>
  <c r="AL190" i="51"/>
  <c r="AC29" i="45"/>
  <c r="AL191" i="51"/>
  <c r="AL189" i="51"/>
  <c r="AL84" i="45"/>
  <c r="AC28" i="45"/>
  <c r="AL8" i="39"/>
  <c r="AC231" i="51"/>
  <c r="AC232" i="51" s="1"/>
  <c r="AL6" i="51"/>
  <c r="AC18" i="49"/>
  <c r="AL103" i="51"/>
  <c r="AL6" i="39"/>
  <c r="AL145" i="51"/>
  <c r="AL146" i="51"/>
  <c r="AC57" i="49"/>
  <c r="AL101" i="51"/>
  <c r="AL102" i="51"/>
  <c r="AL89" i="45"/>
  <c r="AC5" i="49"/>
  <c r="AL96" i="51"/>
  <c r="AL90" i="45"/>
  <c r="AL144" i="51"/>
  <c r="AL195" i="51"/>
  <c r="AL106" i="51"/>
  <c r="AL7" i="45"/>
  <c r="AL149" i="51"/>
  <c r="AL44" i="32" l="1"/>
  <c r="AC14" i="32"/>
  <c r="AL55" i="32"/>
  <c r="AL65" i="32"/>
  <c r="AL67" i="32"/>
  <c r="AL49" i="32"/>
  <c r="AL26" i="32"/>
  <c r="AL20" i="32"/>
  <c r="AL69" i="32"/>
  <c r="AL63" i="32"/>
  <c r="AL40" i="32"/>
  <c r="AL22" i="32"/>
  <c r="AL57" i="32"/>
  <c r="AL54" i="32"/>
  <c r="AL30" i="32"/>
  <c r="AL60" i="32"/>
  <c r="AL85" i="45"/>
  <c r="AC12" i="49"/>
  <c r="AC225" i="51"/>
  <c r="AC45" i="51"/>
  <c r="AC48" i="32"/>
  <c r="AC29" i="49"/>
  <c r="AC244" i="51"/>
  <c r="AC245" i="51" s="1"/>
  <c r="AC188" i="51"/>
  <c r="AL259" i="51"/>
  <c r="AC9" i="32"/>
  <c r="AL193" i="51"/>
  <c r="AC95" i="45"/>
  <c r="AL58" i="32"/>
  <c r="AL59" i="32" s="1"/>
  <c r="AC167" i="51"/>
  <c r="AC168" i="51" s="1"/>
  <c r="AC117" i="51"/>
  <c r="AC54" i="51"/>
  <c r="AL70" i="32"/>
  <c r="AC58" i="51"/>
  <c r="AC59" i="51" s="1"/>
  <c r="AC119" i="51"/>
  <c r="AC120" i="51" s="1"/>
  <c r="AC197" i="51"/>
  <c r="AL260" i="51"/>
  <c r="AL13" i="39"/>
  <c r="AL14" i="39"/>
  <c r="AC83" i="51"/>
  <c r="AC173" i="51"/>
  <c r="AC104" i="45"/>
  <c r="AL104" i="45" s="1"/>
  <c r="AC84" i="49"/>
  <c r="AC171" i="51"/>
  <c r="AC68" i="51"/>
  <c r="AC139" i="51"/>
  <c r="AC140" i="51" s="1"/>
  <c r="AC165" i="51"/>
  <c r="AC166" i="51" s="1"/>
  <c r="AC125" i="51"/>
  <c r="AC126" i="51" s="1"/>
  <c r="AC12" i="32"/>
  <c r="AC70" i="49"/>
  <c r="AC179" i="51"/>
  <c r="AC180" i="51" s="1"/>
  <c r="AC9" i="49"/>
  <c r="AC11" i="32"/>
  <c r="AL104" i="51"/>
  <c r="AC11" i="51"/>
  <c r="AC32" i="49"/>
  <c r="AC10" i="32"/>
  <c r="AL15" i="32"/>
  <c r="AC130" i="51"/>
  <c r="AC78" i="51"/>
  <c r="AC229" i="51"/>
  <c r="AC230" i="51" s="1"/>
  <c r="AL25" i="39"/>
  <c r="AL11" i="39"/>
  <c r="AL17" i="39"/>
  <c r="AC91" i="51"/>
  <c r="AC242" i="51"/>
  <c r="AC243" i="51" s="1"/>
  <c r="AC60" i="51"/>
  <c r="AC61" i="51" s="1"/>
  <c r="AC163" i="51"/>
  <c r="AC164" i="51" s="1"/>
  <c r="AL12" i="39"/>
  <c r="AC36" i="49"/>
  <c r="AL20" i="39"/>
  <c r="AL23" i="39"/>
  <c r="AC227" i="51"/>
  <c r="AC228" i="51" s="1"/>
  <c r="AC62" i="51"/>
  <c r="AC63" i="51" s="1"/>
  <c r="AL58" i="45"/>
  <c r="AC41" i="51"/>
  <c r="AC220" i="51"/>
  <c r="AL82" i="45"/>
  <c r="AC42" i="49"/>
  <c r="AC248" i="51"/>
  <c r="AC249" i="51" s="1"/>
  <c r="AL7" i="39"/>
  <c r="AL187" i="51"/>
  <c r="AL21" i="51"/>
  <c r="AL16" i="39"/>
  <c r="AL87" i="45"/>
  <c r="AC177" i="51"/>
  <c r="AC178" i="51" s="1"/>
  <c r="AL24" i="39"/>
  <c r="AC94" i="45" l="1"/>
  <c r="AL188" i="51"/>
  <c r="AL197" i="51"/>
  <c r="AL68" i="32"/>
  <c r="AL10" i="32"/>
  <c r="AL53" i="32"/>
  <c r="AC71" i="32"/>
  <c r="AL66" i="32"/>
  <c r="AL56" i="32"/>
  <c r="AC94" i="49"/>
  <c r="AC12" i="51"/>
  <c r="AL151" i="51"/>
  <c r="AC44" i="51"/>
  <c r="AL64" i="32"/>
  <c r="AC43" i="51"/>
  <c r="AC159" i="51"/>
  <c r="AC70" i="51"/>
  <c r="AC235" i="51"/>
  <c r="AL29" i="39"/>
  <c r="AL26" i="39"/>
  <c r="AL91" i="51"/>
  <c r="AC92" i="51"/>
  <c r="AL92" i="51" s="1"/>
  <c r="AC93" i="45"/>
  <c r="AC237" i="51"/>
  <c r="AC72" i="51"/>
  <c r="AC116" i="51"/>
  <c r="AC53" i="51"/>
  <c r="AC217" i="51"/>
  <c r="AL194" i="51"/>
  <c r="AC67" i="51"/>
  <c r="AC129" i="51"/>
  <c r="AL11" i="51"/>
  <c r="AC74" i="49"/>
  <c r="AC73" i="32"/>
  <c r="AL72" i="32"/>
  <c r="AL73" i="32" s="1"/>
  <c r="AL52" i="32"/>
  <c r="AL57" i="45"/>
  <c r="AC85" i="51"/>
  <c r="AL25" i="51"/>
  <c r="AL217" i="51" l="1"/>
  <c r="AL12" i="51"/>
  <c r="AL71" i="32"/>
  <c r="AC10" i="51"/>
  <c r="AC86" i="51"/>
  <c r="AL86" i="51" s="1"/>
  <c r="AL85" i="51"/>
  <c r="AC89" i="51"/>
  <c r="AC175" i="51"/>
  <c r="AC176" i="51" s="1"/>
  <c r="AC88" i="49"/>
  <c r="AC105" i="45"/>
  <c r="AC26" i="45"/>
  <c r="AC25" i="45" s="1"/>
  <c r="AC23" i="45" s="1"/>
  <c r="AC22" i="49"/>
  <c r="AL21" i="39"/>
  <c r="AC103" i="45" l="1"/>
  <c r="AL103" i="45" s="1"/>
  <c r="AL105" i="45"/>
  <c r="AL10" i="51"/>
  <c r="AC87" i="51"/>
  <c r="AC133" i="51"/>
  <c r="AC134" i="51" s="1"/>
  <c r="AL89" i="51"/>
  <c r="AC90" i="51"/>
  <c r="AL90" i="51" s="1"/>
  <c r="AC88" i="51" l="1"/>
  <c r="AL88" i="51" s="1"/>
  <c r="AL87" i="51"/>
  <c r="AL11" i="45" l="1"/>
  <c r="AC131" i="51" l="1"/>
  <c r="AC82" i="51"/>
  <c r="AC49" i="51" l="1"/>
  <c r="AC115" i="51"/>
  <c r="AC160" i="51"/>
  <c r="AC50" i="51"/>
  <c r="AC35" i="51"/>
  <c r="AC38" i="51" s="1"/>
  <c r="AC172" i="51" l="1"/>
  <c r="AC79" i="51"/>
  <c r="AD82" i="51" l="1"/>
  <c r="AD131" i="51"/>
  <c r="AD14" i="48" l="1"/>
  <c r="AM213" i="51" l="1"/>
  <c r="AM10" i="45" l="1"/>
  <c r="AM12" i="45"/>
  <c r="AM9" i="45"/>
  <c r="AM35" i="39"/>
  <c r="AM34" i="32"/>
  <c r="AM35" i="32" s="1"/>
  <c r="AD35" i="32"/>
  <c r="AD5" i="32"/>
  <c r="AM4" i="32"/>
  <c r="AM5" i="32" s="1"/>
  <c r="AM6" i="32"/>
  <c r="AM33" i="32" l="1"/>
  <c r="AM11" i="45" l="1"/>
  <c r="AM4" i="45" l="1"/>
  <c r="AD110" i="51"/>
  <c r="AM36" i="32" l="1"/>
  <c r="AM5" i="39" l="1"/>
  <c r="AM23" i="32" l="1"/>
  <c r="AD156" i="51"/>
  <c r="AD37" i="51"/>
  <c r="AD111" i="51"/>
  <c r="AM184" i="51" l="1"/>
  <c r="AD109" i="51"/>
  <c r="AD36" i="51"/>
  <c r="AM37" i="32" l="1"/>
  <c r="AD38" i="32"/>
  <c r="AM38" i="32" l="1"/>
  <c r="AD81" i="49" l="1"/>
  <c r="AM99" i="51" l="1"/>
  <c r="AM100" i="51"/>
  <c r="AM254" i="51"/>
  <c r="AD75" i="51"/>
  <c r="AD240" i="51"/>
  <c r="AD267" i="51"/>
  <c r="AD46" i="51"/>
  <c r="AD239" i="51"/>
  <c r="AD74" i="51"/>
  <c r="AD216" i="51"/>
  <c r="AM185" i="51"/>
  <c r="AD114" i="51"/>
  <c r="AD42" i="51"/>
  <c r="AM56" i="45"/>
  <c r="AD55" i="45"/>
  <c r="AD71" i="51"/>
  <c r="AD236" i="51"/>
  <c r="AD55" i="51"/>
  <c r="AD161" i="51"/>
  <c r="AM216" i="51" l="1"/>
  <c r="AM202" i="51"/>
  <c r="AM4" i="51"/>
  <c r="AM267" i="51"/>
  <c r="AD73" i="51"/>
  <c r="AD238" i="51"/>
  <c r="AD57" i="51"/>
  <c r="AD264" i="51"/>
  <c r="AM198" i="51" l="1"/>
  <c r="AM199" i="51"/>
  <c r="AM264" i="51"/>
  <c r="AM38" i="40"/>
  <c r="AM5" i="45"/>
  <c r="AM14" i="45"/>
  <c r="AM13" i="45"/>
  <c r="AM8" i="45"/>
  <c r="AM6" i="45"/>
  <c r="AM30" i="39"/>
  <c r="AM32" i="39"/>
  <c r="AM31" i="39"/>
  <c r="AM33" i="39"/>
  <c r="AM11" i="39"/>
  <c r="AM7" i="45" l="1"/>
  <c r="AD61" i="49"/>
  <c r="AM8" i="32"/>
  <c r="AM7" i="32"/>
  <c r="AD38" i="49"/>
  <c r="AD29" i="45"/>
  <c r="AD30" i="45"/>
  <c r="AD139" i="51"/>
  <c r="AD140" i="51" s="1"/>
  <c r="AD179" i="51"/>
  <c r="AD180" i="51" s="1"/>
  <c r="AD244" i="51"/>
  <c r="AD245" i="51" s="1"/>
  <c r="AD125" i="51"/>
  <c r="AD126" i="51" s="1"/>
  <c r="AD12" i="49"/>
  <c r="AD165" i="51"/>
  <c r="AD166" i="51" s="1"/>
  <c r="AD231" i="51"/>
  <c r="AD232" i="51" s="1"/>
  <c r="AD167" i="51"/>
  <c r="AD168" i="51" s="1"/>
  <c r="AD29" i="49"/>
  <c r="AD121" i="51"/>
  <c r="AD122" i="51" s="1"/>
  <c r="AD59" i="32"/>
  <c r="AD28" i="45"/>
  <c r="AD90" i="49"/>
  <c r="AD246" i="51"/>
  <c r="AD247" i="51" s="1"/>
  <c r="AD123" i="51"/>
  <c r="AD124" i="51" s="1"/>
  <c r="AD18" i="49"/>
  <c r="AD31" i="45"/>
  <c r="AM109" i="45"/>
  <c r="AD27" i="45"/>
  <c r="AD36" i="49"/>
  <c r="AD135" i="51"/>
  <c r="AD136" i="51" s="1"/>
  <c r="AD137" i="51"/>
  <c r="AD138" i="51" s="1"/>
  <c r="AD229" i="51"/>
  <c r="AD230" i="51" s="1"/>
  <c r="AD220" i="51"/>
  <c r="AM30" i="51" l="1"/>
  <c r="AM153" i="51"/>
  <c r="AM145" i="51"/>
  <c r="AM9" i="51"/>
  <c r="AM17" i="51"/>
  <c r="AM26" i="51"/>
  <c r="AM27" i="51"/>
  <c r="AM186" i="51"/>
  <c r="AM191" i="51"/>
  <c r="AM96" i="51"/>
  <c r="AM29" i="51"/>
  <c r="AM8" i="51"/>
  <c r="AM147" i="51"/>
  <c r="AM193" i="51"/>
  <c r="AM195" i="51"/>
  <c r="AM189" i="51"/>
  <c r="AM106" i="51"/>
  <c r="AM196" i="51"/>
  <c r="AM102" i="51"/>
  <c r="AM152" i="51"/>
  <c r="AM103" i="51"/>
  <c r="AM7" i="51"/>
  <c r="AM6" i="51"/>
  <c r="AM190" i="51"/>
  <c r="AM146" i="51"/>
  <c r="AM148" i="51"/>
  <c r="AM16" i="51"/>
  <c r="AM101" i="51"/>
  <c r="AM105" i="51"/>
  <c r="AM5" i="51"/>
  <c r="AM22" i="51"/>
  <c r="AM144" i="51"/>
  <c r="AM255" i="51"/>
  <c r="AM257" i="51"/>
  <c r="AM261" i="51"/>
  <c r="AM256" i="51"/>
  <c r="AM37" i="40"/>
  <c r="AM90" i="45"/>
  <c r="AM88" i="45"/>
  <c r="AM84" i="45"/>
  <c r="AM85" i="45"/>
  <c r="AM83" i="45"/>
  <c r="AM89" i="45"/>
  <c r="AM58" i="45"/>
  <c r="AM25" i="39"/>
  <c r="AM34" i="39"/>
  <c r="AM20" i="39"/>
  <c r="AM26" i="39"/>
  <c r="AM22" i="39"/>
  <c r="AM23" i="39"/>
  <c r="AM14" i="39"/>
  <c r="AM12" i="39"/>
  <c r="AM9" i="39"/>
  <c r="AM6" i="39"/>
  <c r="AM17" i="39"/>
  <c r="AM10" i="39"/>
  <c r="AM13" i="39"/>
  <c r="AM15" i="39"/>
  <c r="AM8" i="39"/>
  <c r="AM31" i="32"/>
  <c r="AM26" i="32"/>
  <c r="AM21" i="32"/>
  <c r="AM25" i="32"/>
  <c r="AM40" i="32"/>
  <c r="AM30" i="32"/>
  <c r="AM49" i="32"/>
  <c r="AM56" i="32"/>
  <c r="AM51" i="32"/>
  <c r="AM64" i="32"/>
  <c r="AM22" i="32"/>
  <c r="AM55" i="32"/>
  <c r="AM42" i="32"/>
  <c r="AM18" i="32"/>
  <c r="AM28" i="32"/>
  <c r="AM19" i="32"/>
  <c r="AM69" i="32"/>
  <c r="AM27" i="32"/>
  <c r="AM54" i="32"/>
  <c r="AM39" i="32"/>
  <c r="AM43" i="32"/>
  <c r="AM45" i="32"/>
  <c r="AM20" i="32"/>
  <c r="AM52" i="32"/>
  <c r="AM17" i="32"/>
  <c r="AM50" i="32"/>
  <c r="AM63" i="32"/>
  <c r="AM44" i="32"/>
  <c r="AM46" i="32"/>
  <c r="AM66" i="32"/>
  <c r="AM32" i="32"/>
  <c r="AM57" i="32"/>
  <c r="AM67" i="32"/>
  <c r="AM68" i="32"/>
  <c r="AM65" i="32"/>
  <c r="AM41" i="32"/>
  <c r="AM16" i="32"/>
  <c r="AM29" i="32"/>
  <c r="AM60" i="32"/>
  <c r="AM53" i="32"/>
  <c r="AD9" i="49"/>
  <c r="AD5" i="49"/>
  <c r="AD67" i="51"/>
  <c r="AD129" i="51"/>
  <c r="AD188" i="51"/>
  <c r="AM259" i="51"/>
  <c r="AD116" i="51"/>
  <c r="AD53" i="51"/>
  <c r="AD217" i="51"/>
  <c r="AM194" i="51"/>
  <c r="AD235" i="51"/>
  <c r="AD70" i="51"/>
  <c r="AM58" i="32"/>
  <c r="AM59" i="32" s="1"/>
  <c r="AD32" i="49"/>
  <c r="AD94" i="45" s="1"/>
  <c r="AD83" i="51"/>
  <c r="AD173" i="51"/>
  <c r="AD119" i="51"/>
  <c r="AD120" i="51" s="1"/>
  <c r="AD58" i="51"/>
  <c r="AD59" i="51" s="1"/>
  <c r="AM47" i="32"/>
  <c r="AM48" i="32" s="1"/>
  <c r="AD48" i="32"/>
  <c r="AD163" i="51"/>
  <c r="AD164" i="51" s="1"/>
  <c r="AD60" i="51"/>
  <c r="AD61" i="51" s="1"/>
  <c r="AD43" i="51"/>
  <c r="AD159" i="51"/>
  <c r="AD117" i="51"/>
  <c r="AD54" i="51"/>
  <c r="AD14" i="32"/>
  <c r="AM13" i="32"/>
  <c r="AM14" i="32" s="1"/>
  <c r="AD9" i="32"/>
  <c r="AD94" i="49"/>
  <c r="AD78" i="51"/>
  <c r="AD130" i="51"/>
  <c r="AD227" i="51"/>
  <c r="AD228" i="51" s="1"/>
  <c r="AD62" i="51"/>
  <c r="AD63" i="51" s="1"/>
  <c r="AD11" i="51"/>
  <c r="AM104" i="51"/>
  <c r="AD11" i="32"/>
  <c r="AD171" i="51"/>
  <c r="AD68" i="51"/>
  <c r="AD197" i="51"/>
  <c r="AM260" i="51"/>
  <c r="AD70" i="49"/>
  <c r="AD91" i="51"/>
  <c r="AD242" i="51"/>
  <c r="AD243" i="51" s="1"/>
  <c r="AD73" i="32"/>
  <c r="AM72" i="32"/>
  <c r="AM73" i="32" s="1"/>
  <c r="AD71" i="32"/>
  <c r="AM70" i="32"/>
  <c r="AD104" i="45"/>
  <c r="AM104" i="45" s="1"/>
  <c r="AD84" i="49"/>
  <c r="AD12" i="51"/>
  <c r="AM151" i="51"/>
  <c r="AM15" i="32"/>
  <c r="AD10" i="32"/>
  <c r="AD64" i="49"/>
  <c r="AD45" i="51"/>
  <c r="AD225" i="51"/>
  <c r="AD12" i="32"/>
  <c r="AD237" i="51"/>
  <c r="AD72" i="51"/>
  <c r="AD177" i="51"/>
  <c r="AD178" i="51" s="1"/>
  <c r="AD74" i="49"/>
  <c r="AD44" i="51"/>
  <c r="AD42" i="49"/>
  <c r="AD248" i="51"/>
  <c r="AD249" i="51" s="1"/>
  <c r="AM217" i="51" l="1"/>
  <c r="AM28" i="51"/>
  <c r="AM12" i="51"/>
  <c r="AM149" i="51"/>
  <c r="AM197" i="51"/>
  <c r="AM21" i="51"/>
  <c r="AM188" i="51"/>
  <c r="AM40" i="40"/>
  <c r="AM57" i="45"/>
  <c r="AM87" i="45"/>
  <c r="AM82" i="45"/>
  <c r="AM29" i="39"/>
  <c r="AM16" i="39"/>
  <c r="AM7" i="39"/>
  <c r="AM4" i="39"/>
  <c r="AM10" i="32"/>
  <c r="AM24" i="32"/>
  <c r="AM12" i="32"/>
  <c r="AM11" i="32"/>
  <c r="AM9" i="32"/>
  <c r="AM71" i="32"/>
  <c r="AD175" i="51"/>
  <c r="AD176" i="51" s="1"/>
  <c r="AD89" i="51"/>
  <c r="AD95" i="45"/>
  <c r="AD93" i="45" s="1"/>
  <c r="AD92" i="51"/>
  <c r="AM92" i="51" s="1"/>
  <c r="AM91" i="51"/>
  <c r="AD88" i="49"/>
  <c r="AD105" i="45"/>
  <c r="AD57" i="49"/>
  <c r="AD10" i="51"/>
  <c r="AM11" i="51"/>
  <c r="AD85" i="51"/>
  <c r="AD103" i="45" l="1"/>
  <c r="AM103" i="45" s="1"/>
  <c r="AM105" i="45"/>
  <c r="AM10" i="51"/>
  <c r="AM187" i="51"/>
  <c r="AM25" i="51"/>
  <c r="AM39" i="40"/>
  <c r="AM21" i="39"/>
  <c r="AM24" i="39"/>
  <c r="AD133" i="51"/>
  <c r="AD134" i="51" s="1"/>
  <c r="AD87" i="51"/>
  <c r="AD41" i="51"/>
  <c r="AD86" i="51"/>
  <c r="AM86" i="51" s="1"/>
  <c r="AM85" i="51"/>
  <c r="AD90" i="51"/>
  <c r="AM90" i="51" s="1"/>
  <c r="AM89" i="51"/>
  <c r="AM87" i="51" l="1"/>
  <c r="AD88" i="51"/>
  <c r="AM88" i="51" s="1"/>
  <c r="AD26" i="45"/>
  <c r="AD25" i="45" s="1"/>
  <c r="AD23" i="45" s="1"/>
  <c r="AD22" i="49"/>
  <c r="AM252" i="51" l="1"/>
  <c r="AM98" i="51" l="1"/>
  <c r="AD115" i="51"/>
  <c r="AD49" i="51"/>
  <c r="AD160" i="51"/>
  <c r="AD50" i="51"/>
  <c r="AD172" i="51" l="1"/>
  <c r="AD79" i="51"/>
  <c r="AD35" i="51"/>
  <c r="AD38" i="51" s="1"/>
  <c r="AM97" i="51" l="1"/>
  <c r="Y213" i="51" l="1"/>
  <c r="AN213" i="51"/>
  <c r="Y212" i="51" l="1"/>
  <c r="AN212" i="51"/>
  <c r="Y119" i="49" l="1"/>
  <c r="AE35" i="51"/>
  <c r="AE172" i="51"/>
  <c r="Y172" i="51" s="1"/>
  <c r="Y168" i="49"/>
  <c r="AE79" i="51"/>
  <c r="Y79" i="51" s="1"/>
  <c r="AE115" i="51"/>
  <c r="Y115" i="51" s="1"/>
  <c r="Y130" i="49"/>
  <c r="AE49" i="51"/>
  <c r="Y49" i="51" s="1"/>
  <c r="Y131" i="49"/>
  <c r="AE50" i="51"/>
  <c r="Y50" i="51" s="1"/>
  <c r="AE160" i="51"/>
  <c r="Y160" i="51" s="1"/>
  <c r="Y35" i="51" l="1"/>
  <c r="AE82" i="51"/>
  <c r="Y82" i="51" s="1"/>
  <c r="AE131" i="51"/>
  <c r="Y131" i="51" s="1"/>
  <c r="Y171" i="49"/>
  <c r="Y49" i="45" l="1"/>
  <c r="Y252" i="51" l="1"/>
  <c r="AN252" i="51"/>
  <c r="Y76" i="38" l="1"/>
  <c r="Y75" i="38" l="1"/>
  <c r="Y97" i="51"/>
  <c r="AN97" i="51"/>
  <c r="Y6" i="32" l="1"/>
  <c r="AN6" i="32" l="1"/>
  <c r="Y33" i="32"/>
  <c r="Y36" i="32"/>
  <c r="Y4" i="32" l="1"/>
  <c r="AN35" i="39"/>
  <c r="Y35" i="39"/>
  <c r="Y10" i="45"/>
  <c r="AN10" i="45"/>
  <c r="Y4" i="45"/>
  <c r="AN4" i="45"/>
  <c r="Y20" i="39"/>
  <c r="AN20" i="39"/>
  <c r="AE5" i="32"/>
  <c r="AN4" i="32"/>
  <c r="AN5" i="32" s="1"/>
  <c r="AN33" i="32"/>
  <c r="Y9" i="45"/>
  <c r="AN9" i="45"/>
  <c r="Y12" i="45"/>
  <c r="AN12" i="45"/>
  <c r="AN36" i="32"/>
  <c r="AE110" i="51"/>
  <c r="Y110" i="51" s="1"/>
  <c r="Y108" i="49"/>
  <c r="Y34" i="32" l="1"/>
  <c r="AE35" i="32"/>
  <c r="AN34" i="32"/>
  <c r="AN35" i="32" s="1"/>
  <c r="Y5" i="32"/>
  <c r="Y31" i="38"/>
  <c r="Y35" i="32" l="1"/>
  <c r="AN5" i="39"/>
  <c r="Y11" i="45" l="1"/>
  <c r="AN11" i="45"/>
  <c r="Y5" i="39"/>
  <c r="Y184" i="51" l="1"/>
  <c r="AN184" i="51"/>
  <c r="Y37" i="32" l="1"/>
  <c r="AN37" i="32" l="1"/>
  <c r="AE38" i="32"/>
  <c r="Y38" i="32" s="1"/>
  <c r="AN38" i="32" l="1"/>
  <c r="Y72" i="45" l="1"/>
  <c r="Y53" i="38" l="1"/>
  <c r="Y99" i="51"/>
  <c r="AN99" i="51"/>
  <c r="AE216" i="51"/>
  <c r="Y185" i="51"/>
  <c r="AN185" i="51"/>
  <c r="Y56" i="45"/>
  <c r="AN56" i="45"/>
  <c r="Y100" i="51"/>
  <c r="AN100" i="51"/>
  <c r="Y127" i="49"/>
  <c r="AE267" i="51"/>
  <c r="AE46" i="51"/>
  <c r="Y46" i="51" s="1"/>
  <c r="Y202" i="51" l="1"/>
  <c r="AN202" i="51"/>
  <c r="Y267" i="51"/>
  <c r="AN267" i="51"/>
  <c r="Y216" i="51"/>
  <c r="AN216" i="51"/>
  <c r="Y4" i="51"/>
  <c r="AN4" i="51"/>
  <c r="Y17" i="49"/>
  <c r="Y23" i="32"/>
  <c r="Y67" i="38"/>
  <c r="Y19" i="45"/>
  <c r="Y103" i="49"/>
  <c r="Y71" i="38"/>
  <c r="Y63" i="49"/>
  <c r="Y64" i="38" l="1"/>
  <c r="AN31" i="39"/>
  <c r="Y31" i="39"/>
  <c r="AN32" i="39"/>
  <c r="Y32" i="39"/>
  <c r="Y5" i="45"/>
  <c r="AN5" i="45"/>
  <c r="Y8" i="45"/>
  <c r="AN8" i="45"/>
  <c r="Y163" i="49"/>
  <c r="AE74" i="51"/>
  <c r="Y74" i="51" s="1"/>
  <c r="AE239" i="51"/>
  <c r="Y239" i="51" s="1"/>
  <c r="Y6" i="45"/>
  <c r="AN6" i="45"/>
  <c r="AE264" i="51"/>
  <c r="Y117" i="49"/>
  <c r="Y254" i="51"/>
  <c r="AN254" i="51"/>
  <c r="Y199" i="51"/>
  <c r="AN199" i="51"/>
  <c r="Y62" i="49"/>
  <c r="AE61" i="49"/>
  <c r="Y61" i="49" s="1"/>
  <c r="Y160" i="49"/>
  <c r="AE236" i="51"/>
  <c r="Y236" i="51" s="1"/>
  <c r="AE71" i="51"/>
  <c r="Y71" i="51" s="1"/>
  <c r="AE55" i="51"/>
  <c r="Y55" i="51" s="1"/>
  <c r="AE161" i="51"/>
  <c r="Y161" i="51" s="1"/>
  <c r="Y136" i="49"/>
  <c r="Y111" i="49"/>
  <c r="AE37" i="51"/>
  <c r="Y37" i="51" s="1"/>
  <c r="AE156" i="51"/>
  <c r="Y156" i="51" s="1"/>
  <c r="AE57" i="51"/>
  <c r="Y57" i="51" s="1"/>
  <c r="Y152" i="49"/>
  <c r="AN23" i="32"/>
  <c r="AE81" i="49"/>
  <c r="Y81" i="49" s="1"/>
  <c r="Y82" i="49"/>
  <c r="Y70" i="38"/>
  <c r="Y38" i="40"/>
  <c r="AN38" i="40"/>
  <c r="Y30" i="39"/>
  <c r="AN30" i="39"/>
  <c r="Y198" i="51"/>
  <c r="AN198" i="51"/>
  <c r="Y59" i="45"/>
  <c r="Y55" i="45" s="1"/>
  <c r="AE55" i="45"/>
  <c r="Y123" i="49"/>
  <c r="AE114" i="51"/>
  <c r="Y114" i="51" s="1"/>
  <c r="AE42" i="51"/>
  <c r="Y42" i="51" s="1"/>
  <c r="Y69" i="49"/>
  <c r="Y72" i="38"/>
  <c r="Y56" i="38"/>
  <c r="Y55" i="38"/>
  <c r="Y8" i="32"/>
  <c r="Y7" i="32" l="1"/>
  <c r="AN33" i="39"/>
  <c r="Y33" i="39"/>
  <c r="Y7" i="45"/>
  <c r="AN7" i="45"/>
  <c r="Y76" i="49"/>
  <c r="Y264" i="51"/>
  <c r="AN264" i="51"/>
  <c r="Y11" i="39"/>
  <c r="AN11" i="39"/>
  <c r="AN7" i="32"/>
  <c r="Y107" i="49"/>
  <c r="AE36" i="51"/>
  <c r="AE109" i="51"/>
  <c r="Y109" i="51" s="1"/>
  <c r="Y162" i="49"/>
  <c r="AE73" i="51"/>
  <c r="Y73" i="51" s="1"/>
  <c r="AE238" i="51"/>
  <c r="Y238" i="51" s="1"/>
  <c r="Y109" i="49"/>
  <c r="AE111" i="51"/>
  <c r="Y111" i="51" s="1"/>
  <c r="Y14" i="45"/>
  <c r="AN14" i="45"/>
  <c r="AN8" i="32"/>
  <c r="Y6" i="49"/>
  <c r="Y13" i="45"/>
  <c r="AN13" i="45"/>
  <c r="Y164" i="49"/>
  <c r="AE240" i="51"/>
  <c r="Y240" i="51" s="1"/>
  <c r="AE75" i="51"/>
  <c r="Y75" i="51" s="1"/>
  <c r="Y36" i="51" l="1"/>
  <c r="AE38" i="51"/>
  <c r="Y38" i="51" s="1"/>
  <c r="Y57" i="45" l="1"/>
  <c r="AN57" i="45"/>
  <c r="Y38" i="38"/>
  <c r="Y58" i="45"/>
  <c r="AN58" i="45"/>
  <c r="Y147" i="51" l="1"/>
  <c r="AN147" i="51"/>
  <c r="Y148" i="51"/>
  <c r="AN148" i="51"/>
  <c r="Y9" i="51"/>
  <c r="AN9" i="51"/>
  <c r="Y101" i="51"/>
  <c r="AN101" i="51"/>
  <c r="AE11" i="51"/>
  <c r="Y104" i="51"/>
  <c r="AN104" i="51"/>
  <c r="Y151" i="51" l="1"/>
  <c r="AE12" i="51"/>
  <c r="AN151" i="51"/>
  <c r="Y153" i="51"/>
  <c r="AN153" i="51"/>
  <c r="Y16" i="51"/>
  <c r="AN16" i="51"/>
  <c r="Y102" i="51"/>
  <c r="AN102" i="51"/>
  <c r="Y144" i="51"/>
  <c r="AN144" i="51"/>
  <c r="Y106" i="51"/>
  <c r="AN106" i="51"/>
  <c r="Y6" i="51"/>
  <c r="AN6" i="51"/>
  <c r="Y5" i="51"/>
  <c r="AN5" i="51"/>
  <c r="Y7" i="51"/>
  <c r="AN7" i="51"/>
  <c r="Y152" i="51"/>
  <c r="AN152" i="51"/>
  <c r="Y11" i="51"/>
  <c r="AN11" i="51"/>
  <c r="Y8" i="51"/>
  <c r="AN8" i="51"/>
  <c r="Y96" i="51"/>
  <c r="AN96" i="51"/>
  <c r="Y17" i="51"/>
  <c r="AN17" i="51"/>
  <c r="Y103" i="51"/>
  <c r="AN103" i="51"/>
  <c r="Y53" i="49"/>
  <c r="AN34" i="39" l="1"/>
  <c r="Y34" i="39"/>
  <c r="Y149" i="51"/>
  <c r="AN149" i="51"/>
  <c r="Y12" i="51"/>
  <c r="AN12" i="51"/>
  <c r="AE10" i="51"/>
  <c r="Y10" i="49"/>
  <c r="Y67" i="32" l="1"/>
  <c r="Y10" i="51"/>
  <c r="AN10" i="51"/>
  <c r="Y60" i="32"/>
  <c r="Y29" i="39"/>
  <c r="AN29" i="39"/>
  <c r="Y17" i="32"/>
  <c r="Y45" i="32"/>
  <c r="Y19" i="32"/>
  <c r="Y25" i="32"/>
  <c r="Y28" i="32"/>
  <c r="Y53" i="32"/>
  <c r="Y53" i="45"/>
  <c r="Y27" i="32"/>
  <c r="Y41" i="32"/>
  <c r="Y24" i="38"/>
  <c r="Y46" i="32"/>
  <c r="Y16" i="49"/>
  <c r="Y10" i="38"/>
  <c r="Y52" i="49"/>
  <c r="Y62" i="45"/>
  <c r="Y52" i="45"/>
  <c r="Y74" i="45"/>
  <c r="Y79" i="45"/>
  <c r="Y78" i="45"/>
  <c r="Y63" i="32"/>
  <c r="Y18" i="32"/>
  <c r="Y8" i="38"/>
  <c r="Y11" i="38"/>
  <c r="Y62" i="38"/>
  <c r="Y32" i="32"/>
  <c r="Y51" i="32"/>
  <c r="Y7" i="38"/>
  <c r="Y76" i="45"/>
  <c r="Y13" i="38"/>
  <c r="Y70" i="32"/>
  <c r="Y44" i="32"/>
  <c r="Y4" i="38"/>
  <c r="Y31" i="32"/>
  <c r="Y60" i="38"/>
  <c r="Y69" i="32"/>
  <c r="Y67" i="45"/>
  <c r="Y17" i="38"/>
  <c r="Y44" i="49"/>
  <c r="Y109" i="45" l="1"/>
  <c r="AN109" i="45"/>
  <c r="Y34" i="38"/>
  <c r="Y52" i="32"/>
  <c r="Y43" i="32"/>
  <c r="Y64" i="32"/>
  <c r="Y39" i="32"/>
  <c r="Y13" i="32"/>
  <c r="Y79" i="49"/>
  <c r="Y8" i="49"/>
  <c r="AN69" i="32"/>
  <c r="Y77" i="45"/>
  <c r="Y48" i="45"/>
  <c r="Y71" i="45"/>
  <c r="Y57" i="32"/>
  <c r="Y15" i="39"/>
  <c r="AN15" i="39"/>
  <c r="AE72" i="51"/>
  <c r="Y72" i="51" s="1"/>
  <c r="AE237" i="51"/>
  <c r="Y237" i="51" s="1"/>
  <c r="Y161" i="49"/>
  <c r="Y39" i="49"/>
  <c r="AE38" i="49"/>
  <c r="Y38" i="49" s="1"/>
  <c r="AN28" i="32"/>
  <c r="Y65" i="45"/>
  <c r="Y105" i="51"/>
  <c r="AN105" i="51"/>
  <c r="Y73" i="45"/>
  <c r="Y29" i="38"/>
  <c r="Y189" i="51"/>
  <c r="AN189" i="51"/>
  <c r="AN46" i="32"/>
  <c r="Y16" i="32"/>
  <c r="AN25" i="32"/>
  <c r="Y40" i="32"/>
  <c r="AE246" i="51"/>
  <c r="Y186" i="49"/>
  <c r="Y149" i="49"/>
  <c r="AE229" i="51"/>
  <c r="AN70" i="32"/>
  <c r="AE217" i="51"/>
  <c r="Y194" i="51"/>
  <c r="AN194" i="51"/>
  <c r="Y30" i="38"/>
  <c r="Y186" i="51"/>
  <c r="AN186" i="51"/>
  <c r="Y61" i="32"/>
  <c r="Y191" i="51"/>
  <c r="AN191" i="51"/>
  <c r="AN43" i="32"/>
  <c r="AN53" i="32"/>
  <c r="Y26" i="38"/>
  <c r="Y59" i="38"/>
  <c r="AN64" i="32"/>
  <c r="AN60" i="32"/>
  <c r="Y6" i="38"/>
  <c r="Y15" i="32"/>
  <c r="Y146" i="49"/>
  <c r="AE167" i="51"/>
  <c r="Y55" i="32"/>
  <c r="Y68" i="49"/>
  <c r="Y18" i="38"/>
  <c r="Y26" i="51"/>
  <c r="AN26" i="51"/>
  <c r="Y68" i="32"/>
  <c r="AN51" i="32"/>
  <c r="AE129" i="51"/>
  <c r="Y129" i="51" s="1"/>
  <c r="Y156" i="49"/>
  <c r="AE67" i="51"/>
  <c r="Y67" i="51" s="1"/>
  <c r="AE188" i="51"/>
  <c r="Y259" i="51"/>
  <c r="AN259" i="51"/>
  <c r="Y27" i="38"/>
  <c r="Y20" i="32"/>
  <c r="Y28" i="38"/>
  <c r="Y54" i="32"/>
  <c r="AN19" i="32"/>
  <c r="Y110" i="45"/>
  <c r="Y43" i="49"/>
  <c r="AE42" i="49"/>
  <c r="Y42" i="49" s="1"/>
  <c r="Y77" i="49"/>
  <c r="Y51" i="49"/>
  <c r="Y23" i="38"/>
  <c r="Y75" i="45"/>
  <c r="Y17" i="39"/>
  <c r="AN17" i="39"/>
  <c r="AN39" i="32"/>
  <c r="Y22" i="51"/>
  <c r="AN22" i="51"/>
  <c r="Y145" i="49"/>
  <c r="AE165" i="51"/>
  <c r="AN18" i="32"/>
  <c r="Y26" i="32"/>
  <c r="Y100" i="45"/>
  <c r="AN63" i="32"/>
  <c r="Y39" i="38"/>
  <c r="AN27" i="32"/>
  <c r="AE58" i="51"/>
  <c r="AE119" i="51"/>
  <c r="Y139" i="49"/>
  <c r="Y99" i="45"/>
  <c r="Y255" i="51"/>
  <c r="AN255" i="51"/>
  <c r="AN31" i="32"/>
  <c r="Y22" i="38"/>
  <c r="Y42" i="32"/>
  <c r="AE32" i="49"/>
  <c r="Y33" i="49"/>
  <c r="Y29" i="51"/>
  <c r="AN29" i="51"/>
  <c r="Y195" i="51"/>
  <c r="AN195" i="51"/>
  <c r="Y90" i="45"/>
  <c r="AN90" i="45"/>
  <c r="Y56" i="32"/>
  <c r="Y113" i="49"/>
  <c r="Y12" i="32"/>
  <c r="AN17" i="32"/>
  <c r="AE12" i="32"/>
  <c r="AN12" i="32" s="1"/>
  <c r="Y257" i="51"/>
  <c r="AN257" i="51"/>
  <c r="AN44" i="32"/>
  <c r="Y13" i="39"/>
  <c r="AN13" i="39"/>
  <c r="Y89" i="45"/>
  <c r="AN89" i="45"/>
  <c r="Y5" i="38"/>
  <c r="Y145" i="51"/>
  <c r="AN145" i="51"/>
  <c r="Y190" i="51"/>
  <c r="AN190" i="51"/>
  <c r="Y50" i="32"/>
  <c r="AN52" i="32"/>
  <c r="Y157" i="49"/>
  <c r="AE171" i="51"/>
  <c r="Y171" i="51" s="1"/>
  <c r="AE68" i="51"/>
  <c r="Y68" i="51" s="1"/>
  <c r="Y30" i="32"/>
  <c r="AN41" i="32"/>
  <c r="Y9" i="38"/>
  <c r="Y196" i="51"/>
  <c r="AN196" i="51"/>
  <c r="AE125" i="51"/>
  <c r="Y142" i="49"/>
  <c r="Y65" i="32"/>
  <c r="Y26" i="39"/>
  <c r="AN26" i="39"/>
  <c r="AN45" i="32"/>
  <c r="AE14" i="32"/>
  <c r="AN13" i="32"/>
  <c r="AN14" i="32" s="1"/>
  <c r="AE9" i="32"/>
  <c r="AN67" i="32"/>
  <c r="AE220" i="51"/>
  <c r="Y114" i="49"/>
  <c r="Y80" i="49"/>
  <c r="Y66" i="38"/>
  <c r="Y58" i="38"/>
  <c r="Y59" i="49"/>
  <c r="Y61" i="38"/>
  <c r="Y184" i="49"/>
  <c r="AE242" i="51"/>
  <c r="AE91" i="51"/>
  <c r="AN32" i="32"/>
  <c r="Y146" i="51"/>
  <c r="AN146" i="51"/>
  <c r="Y49" i="32"/>
  <c r="Y20" i="45"/>
  <c r="Y69" i="38"/>
  <c r="Y12" i="38"/>
  <c r="AE123" i="51"/>
  <c r="Y141" i="49"/>
  <c r="Y8" i="39"/>
  <c r="AN8" i="39"/>
  <c r="Y66" i="32"/>
  <c r="Y78" i="49"/>
  <c r="Y96" i="49"/>
  <c r="Y22" i="32"/>
  <c r="Y45" i="38"/>
  <c r="Y60" i="49"/>
  <c r="AE4" i="39"/>
  <c r="AE59" i="32" l="1"/>
  <c r="Y29" i="32"/>
  <c r="Y14" i="38"/>
  <c r="Y63" i="38"/>
  <c r="Y32" i="38"/>
  <c r="Y47" i="32"/>
  <c r="Y48" i="32" s="1"/>
  <c r="Y19" i="38"/>
  <c r="Y37" i="38"/>
  <c r="AN9" i="32"/>
  <c r="Y65" i="38"/>
  <c r="Y54" i="38"/>
  <c r="Y21" i="32"/>
  <c r="AO14" i="32"/>
  <c r="Y58" i="32"/>
  <c r="AE71" i="32"/>
  <c r="AN71" i="32" s="1"/>
  <c r="Y72" i="32"/>
  <c r="Y71" i="32" s="1"/>
  <c r="Y181" i="49"/>
  <c r="AE177" i="51"/>
  <c r="Y24" i="32"/>
  <c r="AN66" i="32"/>
  <c r="Y14" i="32"/>
  <c r="Y9" i="32"/>
  <c r="Y125" i="51"/>
  <c r="AE126" i="51"/>
  <c r="Y126" i="51" s="1"/>
  <c r="Y84" i="45"/>
  <c r="AN84" i="45"/>
  <c r="AE179" i="51"/>
  <c r="Y182" i="49"/>
  <c r="Y7" i="49"/>
  <c r="AE5" i="49"/>
  <c r="Y5" i="49" s="1"/>
  <c r="AE117" i="51"/>
  <c r="Y117" i="51" s="1"/>
  <c r="AE54" i="51"/>
  <c r="Y54" i="51" s="1"/>
  <c r="Y135" i="49"/>
  <c r="Y58" i="49"/>
  <c r="AE57" i="49"/>
  <c r="Y57" i="49" s="1"/>
  <c r="AE73" i="32"/>
  <c r="AN72" i="32"/>
  <c r="AN73" i="32" s="1"/>
  <c r="AN22" i="32"/>
  <c r="Y25" i="51"/>
  <c r="AN25" i="51"/>
  <c r="Y102" i="49"/>
  <c r="AN30" i="32"/>
  <c r="Y19" i="49"/>
  <c r="AE18" i="49"/>
  <c r="Y18" i="49" s="1"/>
  <c r="AE227" i="51"/>
  <c r="Y148" i="49"/>
  <c r="AE62" i="51"/>
  <c r="Y119" i="51"/>
  <c r="AE120" i="51"/>
  <c r="Y120" i="51" s="1"/>
  <c r="Y165" i="51"/>
  <c r="AE166" i="51"/>
  <c r="Y166" i="51" s="1"/>
  <c r="Y26" i="49"/>
  <c r="AE29" i="45"/>
  <c r="Y29" i="45" s="1"/>
  <c r="AE53" i="51"/>
  <c r="Y53" i="51" s="1"/>
  <c r="AE116" i="51"/>
  <c r="Y116" i="51" s="1"/>
  <c r="Y134" i="49"/>
  <c r="AN54" i="32"/>
  <c r="Y188" i="51"/>
  <c r="AN188" i="51"/>
  <c r="Y27" i="51"/>
  <c r="AN27" i="51"/>
  <c r="Y37" i="40"/>
  <c r="AN37" i="40"/>
  <c r="Y11" i="32"/>
  <c r="AN16" i="32"/>
  <c r="AE11" i="32"/>
  <c r="AN11" i="32" s="1"/>
  <c r="Y10" i="39"/>
  <c r="AN10" i="39"/>
  <c r="Y124" i="49"/>
  <c r="AE43" i="51"/>
  <c r="Y43" i="51" s="1"/>
  <c r="AE159" i="51"/>
  <c r="Y159" i="51" s="1"/>
  <c r="Y25" i="39"/>
  <c r="AN25" i="39"/>
  <c r="Y91" i="51"/>
  <c r="AE92" i="51"/>
  <c r="AN91" i="51"/>
  <c r="Y220" i="51"/>
  <c r="AN50" i="32"/>
  <c r="Y176" i="49"/>
  <c r="AE135" i="51"/>
  <c r="Y58" i="51"/>
  <c r="AE59" i="51"/>
  <c r="Y59" i="51" s="1"/>
  <c r="Y246" i="51"/>
  <c r="AE247" i="51"/>
  <c r="Y247" i="51" s="1"/>
  <c r="Y256" i="51"/>
  <c r="AN256" i="51"/>
  <c r="Y125" i="49"/>
  <c r="AE44" i="51"/>
  <c r="Y44" i="51" s="1"/>
  <c r="AE235" i="51"/>
  <c r="Y235" i="51" s="1"/>
  <c r="AE70" i="51"/>
  <c r="Y70" i="51" s="1"/>
  <c r="Y159" i="49"/>
  <c r="AE137" i="51"/>
  <c r="Y177" i="49"/>
  <c r="Y25" i="38"/>
  <c r="Y242" i="51"/>
  <c r="AE243" i="51"/>
  <c r="Y243" i="51" s="1"/>
  <c r="Y193" i="51"/>
  <c r="AN193" i="51"/>
  <c r="Y14" i="39"/>
  <c r="AN14" i="39"/>
  <c r="AN26" i="32"/>
  <c r="Y25" i="49"/>
  <c r="AE28" i="45"/>
  <c r="Y28" i="45" s="1"/>
  <c r="AE173" i="51"/>
  <c r="Y173" i="51" s="1"/>
  <c r="Y172" i="49"/>
  <c r="AE83" i="51"/>
  <c r="Y83" i="51" s="1"/>
  <c r="AN20" i="32"/>
  <c r="AN55" i="32"/>
  <c r="AE48" i="32"/>
  <c r="AN47" i="32"/>
  <c r="AN48" i="32" s="1"/>
  <c r="Y217" i="51"/>
  <c r="AN217" i="51"/>
  <c r="Y15" i="49"/>
  <c r="AN58" i="32"/>
  <c r="AN59" i="32" s="1"/>
  <c r="AE90" i="49"/>
  <c r="Y90" i="49" s="1"/>
  <c r="Y91" i="49"/>
  <c r="Y187" i="51"/>
  <c r="AN187" i="51"/>
  <c r="Y56" i="49"/>
  <c r="Y87" i="45"/>
  <c r="AN87" i="45"/>
  <c r="Y71" i="49"/>
  <c r="AE70" i="49"/>
  <c r="Y70" i="49" s="1"/>
  <c r="AN49" i="32"/>
  <c r="Y12" i="39"/>
  <c r="AN12" i="39"/>
  <c r="AE231" i="51"/>
  <c r="Y150" i="49"/>
  <c r="Y6" i="39"/>
  <c r="AN6" i="39"/>
  <c r="Y95" i="49"/>
  <c r="AE94" i="49"/>
  <c r="Y94" i="49" s="1"/>
  <c r="Y123" i="51"/>
  <c r="AE124" i="51"/>
  <c r="Y124" i="51" s="1"/>
  <c r="Y30" i="51"/>
  <c r="AN30" i="51"/>
  <c r="AN65" i="32"/>
  <c r="AN56" i="32"/>
  <c r="AN21" i="32"/>
  <c r="Y32" i="49"/>
  <c r="AE94" i="45"/>
  <c r="AE139" i="51"/>
  <c r="Y178" i="49"/>
  <c r="AE197" i="51"/>
  <c r="Y260" i="51"/>
  <c r="AN260" i="51"/>
  <c r="Y185" i="49"/>
  <c r="AE244" i="51"/>
  <c r="Y167" i="51"/>
  <c r="AE168" i="51"/>
  <c r="Y168" i="51" s="1"/>
  <c r="Y85" i="45"/>
  <c r="AN85" i="45"/>
  <c r="Y88" i="45"/>
  <c r="AN88" i="45"/>
  <c r="Y65" i="49"/>
  <c r="AE64" i="49"/>
  <c r="Y64" i="49" s="1"/>
  <c r="Y24" i="49"/>
  <c r="AE27" i="45"/>
  <c r="Y27" i="45" s="1"/>
  <c r="AN40" i="32"/>
  <c r="AE163" i="51"/>
  <c r="Y144" i="49"/>
  <c r="AE60" i="51"/>
  <c r="Y27" i="49"/>
  <c r="AE30" i="45"/>
  <c r="Y30" i="45" s="1"/>
  <c r="Y30" i="49"/>
  <c r="AE29" i="49"/>
  <c r="Y29" i="49" s="1"/>
  <c r="Y4" i="39"/>
  <c r="AN4" i="39"/>
  <c r="Y11" i="49"/>
  <c r="AE9" i="49"/>
  <c r="Y9" i="49" s="1"/>
  <c r="Y126" i="49"/>
  <c r="AE225" i="51"/>
  <c r="Y225" i="51" s="1"/>
  <c r="AE45" i="51"/>
  <c r="Y45" i="51" s="1"/>
  <c r="AN42" i="32"/>
  <c r="AN57" i="32"/>
  <c r="AN29" i="32"/>
  <c r="Y35" i="49"/>
  <c r="AE95" i="45"/>
  <c r="Y95" i="45" s="1"/>
  <c r="Y261" i="51"/>
  <c r="AN261" i="51"/>
  <c r="AE12" i="49"/>
  <c r="Y12" i="49" s="1"/>
  <c r="Y13" i="49"/>
  <c r="AE121" i="51"/>
  <c r="Y140" i="49"/>
  <c r="Y83" i="45"/>
  <c r="AN83" i="45"/>
  <c r="AN68" i="32"/>
  <c r="Y10" i="32"/>
  <c r="AN15" i="32"/>
  <c r="AE10" i="32"/>
  <c r="AN10" i="32" s="1"/>
  <c r="Y23" i="39"/>
  <c r="AN23" i="39"/>
  <c r="Y9" i="39"/>
  <c r="AN9" i="39"/>
  <c r="Y229" i="51"/>
  <c r="AE230" i="51"/>
  <c r="Y230" i="51" s="1"/>
  <c r="Y28" i="49"/>
  <c r="AE31" i="45"/>
  <c r="Y31" i="45" s="1"/>
  <c r="AE130" i="51"/>
  <c r="Y130" i="51" s="1"/>
  <c r="AE78" i="51"/>
  <c r="Y78" i="51" s="1"/>
  <c r="Y167" i="49"/>
  <c r="Y101" i="49"/>
  <c r="Y92" i="51" l="1"/>
  <c r="AN92" i="51"/>
  <c r="Y59" i="32"/>
  <c r="Y73" i="32"/>
  <c r="Y231" i="51"/>
  <c r="AE232" i="51"/>
  <c r="Y232" i="51" s="1"/>
  <c r="Y50" i="49"/>
  <c r="Y82" i="45"/>
  <c r="AN82" i="45"/>
  <c r="Y22" i="39"/>
  <c r="AN22" i="39"/>
  <c r="Y7" i="39"/>
  <c r="AN7" i="39"/>
  <c r="Y135" i="51"/>
  <c r="AE136" i="51"/>
  <c r="Y136" i="51" s="1"/>
  <c r="AE41" i="51"/>
  <c r="Y41" i="51" s="1"/>
  <c r="Y122" i="49"/>
  <c r="Y163" i="51"/>
  <c r="AE164" i="51"/>
  <c r="Y164" i="51" s="1"/>
  <c r="Y227" i="51"/>
  <c r="AE228" i="51"/>
  <c r="Y228" i="51" s="1"/>
  <c r="Y121" i="51"/>
  <c r="AE122" i="51"/>
  <c r="Y122" i="51" s="1"/>
  <c r="Y197" i="51"/>
  <c r="AN197" i="51"/>
  <c r="Y39" i="40"/>
  <c r="AN39" i="40"/>
  <c r="Y40" i="40"/>
  <c r="AN40" i="40"/>
  <c r="Y179" i="51"/>
  <c r="AE180" i="51"/>
  <c r="Y180" i="51" s="1"/>
  <c r="Y75" i="49"/>
  <c r="AE74" i="49"/>
  <c r="Y74" i="49" s="1"/>
  <c r="AE248" i="51"/>
  <c r="Y187" i="49"/>
  <c r="Y37" i="49"/>
  <c r="AE36" i="49"/>
  <c r="Y36" i="49" s="1"/>
  <c r="Y137" i="51"/>
  <c r="AE138" i="51"/>
  <c r="Y138" i="51" s="1"/>
  <c r="Y41" i="49"/>
  <c r="Y94" i="45"/>
  <c r="AE93" i="45"/>
  <c r="Y93" i="45" s="1"/>
  <c r="AE84" i="49"/>
  <c r="Y84" i="49" s="1"/>
  <c r="Y85" i="49"/>
  <c r="AE104" i="45"/>
  <c r="AN104" i="45" s="1"/>
  <c r="AN24" i="32"/>
  <c r="AE89" i="51"/>
  <c r="AE175" i="51"/>
  <c r="Y180" i="49"/>
  <c r="Y139" i="51"/>
  <c r="AE140" i="51"/>
  <c r="Y140" i="51" s="1"/>
  <c r="Y21" i="51"/>
  <c r="AN21" i="51"/>
  <c r="Y23" i="49"/>
  <c r="AE22" i="49"/>
  <c r="Y22" i="49" s="1"/>
  <c r="AE26" i="45"/>
  <c r="Y60" i="51"/>
  <c r="AE61" i="51"/>
  <c r="Y61" i="51" s="1"/>
  <c r="Y244" i="51"/>
  <c r="AE245" i="51"/>
  <c r="Y245" i="51" s="1"/>
  <c r="Y189" i="49"/>
  <c r="AE85" i="51"/>
  <c r="Y62" i="51"/>
  <c r="AE63" i="51"/>
  <c r="Y63" i="51" s="1"/>
  <c r="Y24" i="39"/>
  <c r="AN24" i="39"/>
  <c r="Y87" i="49"/>
  <c r="AE88" i="49"/>
  <c r="Y88" i="49" s="1"/>
  <c r="Y89" i="49"/>
  <c r="AE105" i="45"/>
  <c r="AN105" i="45" s="1"/>
  <c r="Y67" i="49"/>
  <c r="Y177" i="51"/>
  <c r="AE178" i="51"/>
  <c r="Y178" i="51" s="1"/>
  <c r="Y175" i="51" l="1"/>
  <c r="AE176" i="51"/>
  <c r="Y176" i="51" s="1"/>
  <c r="Y16" i="39"/>
  <c r="AN16" i="39"/>
  <c r="Y21" i="39"/>
  <c r="AN21" i="39"/>
  <c r="Y28" i="51"/>
  <c r="AN28" i="51"/>
  <c r="Y93" i="49"/>
  <c r="Y100" i="49"/>
  <c r="Y4" i="49"/>
  <c r="Y89" i="51"/>
  <c r="AE90" i="51"/>
  <c r="AN89" i="51"/>
  <c r="Y175" i="49"/>
  <c r="AE87" i="51"/>
  <c r="AE133" i="51"/>
  <c r="Y26" i="45"/>
  <c r="Y25" i="45" s="1"/>
  <c r="Y23" i="45" s="1"/>
  <c r="AE25" i="45"/>
  <c r="AE23" i="45" s="1"/>
  <c r="Y73" i="49"/>
  <c r="Y85" i="51"/>
  <c r="AE86" i="51"/>
  <c r="AN85" i="51"/>
  <c r="Y248" i="51"/>
  <c r="AE249" i="51"/>
  <c r="Y249" i="51" s="1"/>
  <c r="Y104" i="45"/>
  <c r="AE103" i="45"/>
  <c r="Y90" i="51" l="1"/>
  <c r="AN90" i="51"/>
  <c r="Y86" i="51"/>
  <c r="AN86" i="51"/>
  <c r="Y103" i="45"/>
  <c r="AN103" i="45"/>
  <c r="Y87" i="51"/>
  <c r="AE88" i="51"/>
  <c r="AN87" i="51"/>
  <c r="Y48" i="49"/>
  <c r="Y21" i="49"/>
  <c r="Y98" i="49"/>
  <c r="Y133" i="51"/>
  <c r="AE134" i="51"/>
  <c r="Y134" i="51" s="1"/>
  <c r="Y88" i="51" l="1"/>
  <c r="AN88" i="51"/>
  <c r="Y98" i="51" l="1"/>
  <c r="AN98" i="51"/>
  <c r="Y47" i="38" l="1"/>
  <c r="Y18" i="45" l="1"/>
  <c r="Y48" i="38" l="1"/>
  <c r="Y46" i="38"/>
  <c r="Y44" i="38" l="1"/>
  <c r="Y41" i="38"/>
  <c r="Y40" i="38" l="1"/>
  <c r="AB160" i="51" l="1"/>
  <c r="AB50" i="51"/>
  <c r="AB131" i="51"/>
  <c r="AB82" i="51"/>
  <c r="AB115" i="51"/>
  <c r="AB49" i="51"/>
  <c r="AK24" i="32" l="1"/>
  <c r="AL24" i="32"/>
  <c r="AK21" i="32"/>
  <c r="AL21" i="32"/>
  <c r="AK23" i="32" l="1"/>
  <c r="AL23" i="32"/>
  <c r="AF48" i="32" l="1"/>
  <c r="AF14" i="32"/>
  <c r="AK27" i="32" l="1"/>
  <c r="AL27" i="32"/>
  <c r="AK19" i="32"/>
  <c r="AL19" i="32"/>
  <c r="AK46" i="32"/>
  <c r="AL46" i="32"/>
  <c r="AB14" i="32"/>
  <c r="AK13" i="32"/>
  <c r="AK14" i="32" s="1"/>
  <c r="AB9" i="32"/>
  <c r="AL13" i="32"/>
  <c r="AL14" i="32" s="1"/>
  <c r="AK50" i="32"/>
  <c r="AL50" i="32"/>
  <c r="AK25" i="32"/>
  <c r="AL25" i="32"/>
  <c r="AK41" i="32"/>
  <c r="AL41" i="32"/>
  <c r="AK31" i="32"/>
  <c r="AL31" i="32"/>
  <c r="AK45" i="32"/>
  <c r="AL45" i="32"/>
  <c r="AK28" i="32"/>
  <c r="AL28" i="32"/>
  <c r="AK39" i="32"/>
  <c r="AL39" i="32"/>
  <c r="AK51" i="32"/>
  <c r="AL51" i="32"/>
  <c r="AK18" i="32"/>
  <c r="AL18" i="32"/>
  <c r="AK32" i="32"/>
  <c r="AL32" i="32"/>
  <c r="AK43" i="32"/>
  <c r="AL43" i="32"/>
  <c r="AK16" i="32"/>
  <c r="AL16" i="32"/>
  <c r="AK17" i="32"/>
  <c r="AL17" i="32"/>
  <c r="AK29" i="32"/>
  <c r="AL29" i="32"/>
  <c r="AK42" i="32"/>
  <c r="AL42" i="32"/>
  <c r="AB48" i="32"/>
  <c r="AK47" i="32"/>
  <c r="AL47" i="32"/>
  <c r="AL48" i="32" s="1"/>
  <c r="AK48" i="32" l="1"/>
  <c r="AO48" i="32"/>
  <c r="AK7" i="32"/>
  <c r="AB11" i="32"/>
  <c r="AL7" i="32"/>
  <c r="AB12" i="32"/>
  <c r="AK8" i="32"/>
  <c r="AL8" i="32"/>
  <c r="AK9" i="32"/>
  <c r="AL9" i="32"/>
  <c r="AK12" i="32" l="1"/>
  <c r="AL12" i="32"/>
  <c r="AK11" i="32"/>
  <c r="AL11" i="32"/>
  <c r="AK252" i="51" l="1"/>
  <c r="AL252" i="51"/>
  <c r="AK9" i="45" l="1"/>
  <c r="AL9" i="45"/>
  <c r="AF35" i="32" l="1"/>
  <c r="AK5" i="39" l="1"/>
  <c r="AL5" i="39"/>
  <c r="AK33" i="32"/>
  <c r="AL33" i="32"/>
  <c r="AB35" i="32"/>
  <c r="AK34" i="32"/>
  <c r="AL34" i="32"/>
  <c r="AL35" i="32" s="1"/>
  <c r="AK35" i="32" l="1"/>
  <c r="AO35" i="32"/>
  <c r="AK37" i="32" l="1"/>
  <c r="AL37" i="32"/>
  <c r="AB38" i="32"/>
  <c r="AK38" i="32" l="1"/>
  <c r="AL38" i="32"/>
  <c r="AL4" i="39" l="1"/>
  <c r="AK4" i="39"/>
  <c r="AB35" i="51" l="1"/>
  <c r="AB38" i="51" s="1"/>
  <c r="AB172" i="51" l="1"/>
  <c r="AB79" i="51"/>
  <c r="X35" i="51" l="1"/>
  <c r="X110" i="51"/>
  <c r="X111" i="51"/>
  <c r="X115" i="51" l="1"/>
  <c r="X49" i="51"/>
  <c r="X83" i="51"/>
  <c r="X173" i="51"/>
  <c r="X82" i="51"/>
  <c r="X131" i="51"/>
  <c r="X109" i="51"/>
  <c r="X36" i="51"/>
  <c r="X160" i="51"/>
  <c r="X50" i="51"/>
  <c r="X37" i="51"/>
  <c r="X156" i="51"/>
  <c r="X38" i="51" l="1"/>
  <c r="AO212" i="40"/>
  <c r="AO204" i="40"/>
  <c r="AO194" i="40"/>
  <c r="AO211" i="40"/>
  <c r="AO203" i="40"/>
  <c r="AO193" i="40"/>
  <c r="AO247" i="40"/>
  <c r="AO246" i="40"/>
  <c r="AO245" i="40"/>
  <c r="AO244" i="40"/>
  <c r="AO209" i="40"/>
  <c r="AO208" i="40"/>
  <c r="AO207" i="40"/>
  <c r="AO201" i="40"/>
  <c r="AO200" i="40"/>
  <c r="AO199" i="40"/>
  <c r="AO198" i="40"/>
  <c r="AO196" i="40"/>
  <c r="AF70" i="40"/>
  <c r="AF56" i="40"/>
  <c r="AO34" i="40"/>
  <c r="AO33" i="40"/>
  <c r="AO31" i="40"/>
  <c r="AO29" i="40"/>
  <c r="AO23" i="40"/>
  <c r="AO22" i="40"/>
  <c r="AO21" i="40"/>
  <c r="AO16" i="40"/>
  <c r="AO14" i="40"/>
  <c r="AO13" i="40"/>
  <c r="AO12" i="40"/>
  <c r="AO11" i="40"/>
  <c r="AO9" i="40"/>
  <c r="AF62" i="40" l="1"/>
  <c r="AO32" i="40"/>
  <c r="AO30" i="40"/>
  <c r="AO10" i="40"/>
  <c r="AO197" i="40"/>
  <c r="AO24" i="40"/>
  <c r="AO15" i="40"/>
  <c r="AO4" i="40"/>
  <c r="AF17" i="40"/>
  <c r="AO17" i="40" s="1"/>
  <c r="AO202" i="40"/>
  <c r="AF5" i="40"/>
  <c r="AO5" i="40" s="1"/>
  <c r="AO192" i="40"/>
  <c r="AF25" i="40"/>
  <c r="AO25" i="40" s="1"/>
  <c r="AO210" i="40"/>
  <c r="AF66" i="40"/>
  <c r="AF83" i="40"/>
  <c r="AF88" i="40"/>
  <c r="AO108" i="40"/>
  <c r="AO243" i="40"/>
  <c r="AF78" i="40"/>
  <c r="AO248" i="40"/>
  <c r="AO109" i="40"/>
  <c r="AF52" i="40"/>
  <c r="AO110" i="40"/>
  <c r="AF77" i="40" l="1"/>
  <c r="AO111" i="40"/>
  <c r="AO107" i="40"/>
  <c r="AO106" i="40"/>
  <c r="AO115" i="40"/>
  <c r="AO116" i="40"/>
  <c r="AO249" i="40"/>
  <c r="AO242" i="40"/>
  <c r="AF72" i="40"/>
  <c r="AF61" i="40" s="1"/>
  <c r="AF8" i="40"/>
  <c r="AF20" i="40"/>
  <c r="AF28" i="40"/>
  <c r="AO28" i="40" s="1"/>
  <c r="AF48" i="40"/>
  <c r="AO8" i="40" l="1"/>
  <c r="AF47" i="40"/>
  <c r="AO20" i="40"/>
  <c r="AO329" i="40"/>
  <c r="AO328" i="40"/>
  <c r="AO327" i="40"/>
  <c r="AO326" i="40"/>
  <c r="AO325" i="40"/>
  <c r="AO324" i="40"/>
  <c r="AO323" i="40"/>
  <c r="AO322" i="40"/>
  <c r="AO321" i="40"/>
  <c r="AO320" i="40"/>
  <c r="AO319" i="40"/>
  <c r="AO318" i="40"/>
  <c r="AO317" i="40"/>
  <c r="AF45" i="40" l="1"/>
  <c r="AF43" i="40" s="1"/>
  <c r="AO340" i="40"/>
  <c r="AO252" i="40" l="1"/>
  <c r="AO255" i="40"/>
  <c r="AO253" i="40"/>
  <c r="AO251" i="40"/>
  <c r="AO254" i="40"/>
  <c r="AO256" i="40"/>
  <c r="AO250" i="40" l="1"/>
  <c r="AO277" i="40"/>
  <c r="AO276" i="40" l="1"/>
  <c r="AO205" i="40"/>
  <c r="AO213" i="40" l="1"/>
  <c r="AO195" i="40" l="1"/>
  <c r="AF35" i="51" l="1"/>
  <c r="AF38" i="51" s="1"/>
  <c r="AF115" i="51" l="1"/>
  <c r="AF49" i="51"/>
  <c r="AF50" i="51"/>
  <c r="AF160" i="51"/>
  <c r="AO252" i="51" l="1"/>
  <c r="AO98" i="51" l="1"/>
  <c r="AF131" i="51" l="1"/>
  <c r="AF82" i="51"/>
  <c r="AL98" i="51"/>
  <c r="AK98" i="51"/>
  <c r="AO97" i="51"/>
  <c r="AK97" i="51" l="1"/>
  <c r="AL97"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7" authorId="0" shapeId="0" xr:uid="{BBD35300-6640-4150-A5BA-3190EFDBDA8B}">
      <text>
        <r>
          <rPr>
            <b/>
            <sz val="9"/>
            <color indexed="81"/>
            <rFont val="Tahoma"/>
            <family val="2"/>
          </rPr>
          <t>IR EDP:</t>
        </r>
        <r>
          <rPr>
            <sz val="9"/>
            <color indexed="81"/>
            <rFont val="Tahoma"/>
            <family val="2"/>
          </rPr>
          <t xml:space="preserve">
Maintenance capex includes payables to fixed assets suppliers</t>
        </r>
      </text>
    </comment>
    <comment ref="W11" authorId="0" shapeId="0" xr:uid="{D440737E-F842-4371-AC83-BCC8B0E9171D}">
      <text>
        <r>
          <rPr>
            <b/>
            <sz val="9"/>
            <color indexed="81"/>
            <rFont val="Tahoma"/>
            <family val="2"/>
          </rPr>
          <t>IR EDP:</t>
        </r>
        <r>
          <rPr>
            <sz val="9"/>
            <color indexed="81"/>
            <rFont val="Tahoma"/>
            <family val="2"/>
          </rPr>
          <t xml:space="preserve">
Recurring organic cash flow decreased by 65% YoY, to €0.6 bn in 2021, including €1.2 bn negative impact associated to the increase of energy prices, mostly in 2H21, namely: (i) €0.8 bn increase in working capital investment on trade receivables &amp; payables and higher inventories (+€0.5 bn); and (ii) negative non-cash impact (-€0.2 bn) related to financial derivatives associated energy management medium term hedging strategy. Excluding these impacts associated to the strong increase of prices in energy, adjusted recurring organic cash flow would have been €1.8 bn in 2021. Recurring organic cash flow translates the cash generated and available to fulfill EDP’s key strategic pillars of sustainable growth, deleveraging and shareholder remuneration.
</t>
        </r>
      </text>
    </comment>
    <comment ref="AB11" authorId="0" shapeId="0" xr:uid="{9DCE5278-FBDD-485D-8A54-95EF6C0F6249}">
      <text>
        <r>
          <rPr>
            <b/>
            <sz val="9"/>
            <color indexed="81"/>
            <rFont val="Tahoma"/>
            <family val="2"/>
          </rPr>
          <t>IR EDP:</t>
        </r>
        <r>
          <rPr>
            <sz val="9"/>
            <color indexed="81"/>
            <rFont val="Tahoma"/>
            <family val="2"/>
          </rPr>
          <t xml:space="preserve">
Recurring organic cash flow decreased YoY, to -€0.5 bn in 1Q22, including €0.7 bn negative impact associated to the increase of energy prices MTM on derivatives and margin calls. Excluding this impact recurring organic cash flow would have been €0.2 bn in 1Q22, in line YoY. Recurring organic cash flow translates the cash generated and available to fulfill EDP’s key strategic pillars of sustainable growth, deleveraging and shareholder remuneration.</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W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W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71"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9"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30"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42"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09"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11"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8"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40"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42"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3"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1"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7"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5"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7" authorId="0" shapeId="0" xr:uid="{5BC2F8AE-A56A-4992-8B6C-5AA710858BA0}">
      <text>
        <r>
          <rPr>
            <b/>
            <sz val="9"/>
            <color indexed="81"/>
            <rFont val="Tahoma"/>
            <family val="2"/>
          </rPr>
          <t>IR EDP:</t>
        </r>
        <r>
          <rPr>
            <sz val="9"/>
            <color indexed="81"/>
            <rFont val="Tahoma"/>
            <family val="2"/>
          </rPr>
          <t xml:space="preserve">
The stationary emissions do not include those produced by the burning of ArcelorMittal steel gases in EDP's power plant in Spain; </t>
        </r>
      </text>
    </comment>
    <comment ref="B8" authorId="0" shapeId="0" xr:uid="{3A223081-8D69-4F79-870D-F790B98DDABE}">
      <text>
        <r>
          <rPr>
            <b/>
            <sz val="9"/>
            <color indexed="81"/>
            <rFont val="Tahoma"/>
            <family val="2"/>
          </rPr>
          <t>IR EDP:</t>
        </r>
        <r>
          <rPr>
            <sz val="9"/>
            <color indexed="81"/>
            <rFont val="Tahoma"/>
            <family val="2"/>
          </rPr>
          <t xml:space="preserve">
Scope 2 emissions according with GHG Protocol based location methodology</t>
        </r>
      </text>
    </comment>
    <comment ref="B50" authorId="0" shapeId="0" xr:uid="{443A1ED2-4F7A-453C-B3C1-7B5396D3D02B}">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 ref="B51" authorId="0" shapeId="0" xr:uid="{220A7448-1CB3-4982-AF3D-6DDABF3BA104}">
      <text>
        <r>
          <rPr>
            <b/>
            <sz val="9"/>
            <color indexed="81"/>
            <rFont val="Tahoma"/>
            <family val="2"/>
          </rPr>
          <t>IR EDP:</t>
        </r>
        <r>
          <rPr>
            <sz val="9"/>
            <color indexed="81"/>
            <rFont val="Tahoma"/>
            <family val="2"/>
          </rPr>
          <t xml:space="preserve">
Accidents occurred at the place and working time or on a journey, with 1 or more days of absence and fatal accidents.</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45">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DIM_KPI_MASTERDATA].[COD_REVAMP].&amp;[10055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KPI_MASTERDATA].[COD_REVAMP].&amp;[1005790]"/>
    <s v="[DIM_KPI_MASTERDATA].[COD_REVAMP].&amp;[1005780]"/>
    <s v="[DIM_KPI_MASTERDATA].[COD_REVAMP].&amp;[1006000]"/>
    <s v="[DIM_KPI_MASTERDATA].[COD_REVAMP].&amp;[1006010]"/>
    <s v="[DIM_KPI_MASTERDATA].[COD_REVAMP].&amp;[1006020]"/>
    <s v="[DIM_KPI_MASTERDATA].[COD_REVAMP].&amp;[1006040]"/>
    <s v="[DIM_KPI_MASTERDATA].[COD_REVAMP].&amp;[1006050]"/>
    <s v="[DIM_KPI_MASTERDATA].[COD_REVAMP].&amp;[1006030]"/>
    <s v="[DIM_KPI_MASTERDATA].[COD_REVAMP].&amp;[1006060]"/>
    <s v="[DIM_KPI_MASTERDATA].[COD_REVAMP].&amp;[1006840]"/>
    <s v="[DIM_BUSINESS_UNIT].[COD_BUSINESS_UNIT].&amp;[General]"/>
    <s v="[DIM_KPI_MASTERDATA].[COD_REVAMP].&amp;[1002710]"/>
    <s v="[DIM_KPI_MASTERDATA].[COD_REVAMP].&amp;[1002700]"/>
    <s v="[FCT_KPI_VAL].[TIME_AGGREGATION].&amp;[Day]"/>
    <s v="[Measures].[VALUE KPI]"/>
    <s v="[DIM_KPI_MASTERDATA].[COD_REVAMP].&amp;[1006080]"/>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Measures].[Act AVG Price EUR YTD]"/>
    <s v="[Dim_Company].[Country].&amp;[Japan]"/>
    <s v="[Dim_Company].[Country].&amp;[Poland]"/>
    <s v="{([Dim_Company].[Country].&amp;[Belgium]),([Dim_Company].[Country].&amp;[Belgium - offshore])}"/>
    <s v="[Measures].[Act % NCF YTD]"/>
    <s v="[Dim_Company].[Platform].&amp;[EDPR-NA]"/>
    <s v="[Dim_Calendar].[Month and Year].&amp;[March  2023]"/>
    <s v="[Dim_Company].[Country].&amp;[Italy]"/>
    <s v="-{[Dim_Oneoffs].[Net Revenues].[Colombia Turnover to COGS],[Dim_Oneoffs].[Net Revenues].[APAC Retail Energy Sales],[Dim_Oneoffs].[Net Revenues].[Sales Hedge Swaps - Sunseap],[Dim_Oneoffs].[Net Revenues].[SP Regulatory Liability Reversal]}"/>
    <s v="[Measures].[BU % NCF]"/>
    <s v="EDPR Monthly Performance_NEW"/>
    <s v="[Dim_Park].[Region Group].&amp;[US - Central]"/>
    <s v="[Dim_Company].[Country].&amp;[Belgium]"/>
    <s v="[Measures].[CAPACITY EBITDA PPA HEDGED]"/>
    <s v="[Measures].[ACT AVG CAPACITY EBITDA OPS]"/>
    <s v="[Dim_Company].[Country].&amp;[Mexico]"/>
    <s v="EDPRTornadoCube"/>
    <s v="[Pipeline].[Technology Pipeline].&amp;[Wind]"/>
    <s v="[Dim Location].[Region Group].&amp;[US - Central]"/>
    <s v="#,##0.00;-#,##0.00"/>
    <s v="0.0"/>
    <s v="[Dim_Park].[Region Group].&amp;[US - West]"/>
    <s v="[Measures].[Act % NCF]"/>
    <s v="{([Dim_Calendar].[Month].&amp;[January]),([Dim_Calendar].[Month].&amp;[February]),([Dim_Calendar].[Month].&amp;[March])}"/>
    <s v="{([Dim_Company].[Country].&amp;[Portugal]),([Dim_Company].[Country].&amp;[Portugal - offshore])}"/>
    <s v="[Dim_Company].[Platform].&amp;[EDPR-APAC]"/>
    <s v="[Measures].[CAPACITY EBITDA MERCHANT]"/>
    <s v="[Measures].[CAPACITY EBITDA Under Construction]"/>
    <s v="[Dim_Company].[Company SAP Hierarchy].[Platform].&amp;[EDPR-LATAM]"/>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alendar].[Quarter].&amp;[Qrt 1]"/>
    <s v="[Measures].[FX RATE YTD AVG]"/>
    <s v="[Dim Location].[Admin Division1].&amp;[United States]&amp;[California]"/>
    <s v="[Dim Date].[Month].&amp;[202303]"/>
    <s v="[Dim_Company].[Platform].&amp;[EDPR-LATAM]"/>
    <s v="[Dim_Company].[Country].&amp;[Cambodia]"/>
    <s v="[DIM_KPI_MASTERDATA].[COD_REVAMP].&amp;[1005300]"/>
    <s v="[DIM_CALENDAR].[COD_MONTH].&amp;[202306]"/>
    <s v="[Dim_Calendar].[Month].&amp;[June]"/>
    <s v="[Dim_Park].[Region Group].&amp;[US - East]"/>
    <s v="[Dim_Calendar].[Month and Year].&amp;[June  2023]"/>
    <s v="{([Dim_Calendar].[Month].&amp;[April]),([Dim_Calendar].[Month].&amp;[May]),([Dim_Calendar].[Month].&amp;[June])}"/>
    <s v="[Dim_Company].[Country].&amp;[Thailand]"/>
    <s v="[Dim Date].[Month].&amp;[202306]"/>
    <s v="[DIM_CALENDAR].[COD_MONTH].&amp;[202309]"/>
    <s v="[Dim_Calendar].[Month].&amp;[September]"/>
    <s v="{([Dim_Calendar].[Month].&amp;[July]),([Dim_Calendar].[Month].&amp;[August]),([Dim_Calendar].[Month].&amp;[September])}"/>
    <s v="[Dim Currencies].[Destination Currency].&amp;[2]"/>
    <s v="[Dim_Calendar].[Month and Year].&amp;[September  2023]"/>
    <s v="{([Pipeline].[Country Pipeline].&amp;[United Kingdom]),([Pipeline].[Country Pipeline].&amp;[United Kingdom - offshore])}"/>
    <s v="{{([Pipeline].[Country Pipeline].&amp;[Portugal]),([Pipeline].[Country Pipeline].&amp;[Portugal - offshore])},([Pipeline].[Country Pipeline].&amp;[Spain]),{{([Pipeline].[Country Pipeline].&amp;[Belgium]),([Pipeline].[Country Pipeline].&amp;[Belgium - offshore])},([Pipeline].[Country Pipeline].&amp;[France]),([Pipeline].[Country Pipeline].&amp;[Romania]),([Pipeline].[Country Pipeline].&amp;[Italy]),{([Pipeline].[Country Pipeline].&amp;[Poland]),([Pipeline].[Country Pipeline].&amp;[Poland - offshore])},([Pipeline].[Country Pipeline].&amp;[Greece]),{([Pipeline].[Country Pipeline].&amp;[United Kingdom]),([Pipeline].[Country Pipeline].&amp;[United Kingdom - offshore])},([Pipeline].[Country Pipeline].&amp;[Hungary]),([Pipeline].[Country Pipeline].&amp;[Germany]),([Pipeline].[Country Pipeline].&amp;[Netherlands])}}"/>
    <s v="[Measures].[Act CAPACITY NCI]"/>
    <s v="[Pipeline].[Country Pipeline].&amp;[Malaysia]"/>
    <s v="[Pipeline].[Country Pipeline].&amp;[Spain]"/>
    <s v="[Pipeline].[Country Pipeline].&amp;[China]"/>
    <s v="[Measures].[BU % NCF YTD]"/>
    <s v="[Dim Currencies].[Destination Currency].&amp;[7]"/>
    <s v="[Dim_Park].[Admin Division 1].&amp;[Indiana]"/>
    <s v="[Pipeline].[Country Pipeline].&amp;[Brazil]"/>
    <s v="[DIM_CALENDAR].[COD_MONTH].&amp;[202312]"/>
    <s v="[DIM_ENERGY_VALUE_CHAIN].[DESC_ENERGY_VALUE_CHAIN].&amp;[Distribution]"/>
    <s v="[Dim_Calendar].[Month].&amp;[December]"/>
    <s v="[Dim_Calendar].[Month and Year].&amp;[December  2023]"/>
    <s v="[Dim Date].[Month].&amp;[202312]"/>
    <s v="[Measures].[FX RATE FINAL]"/>
    <s v="[Dim Date].[Month].&amp;[202309]"/>
    <s v="[Dim_Company].[Country].&amp;[Chile]"/>
    <s v="[Dim_Company].[Country].&amp;[Netherlands]"/>
    <s v="{([Pipeline].[Country Pipeline].&amp;[Poland]),([Pipeline].[Country Pipeline].&amp;[Poland - offshore])}"/>
    <s v="[Pipeline].[Country Pipeline].&amp;[Chile]"/>
    <s v="[Measures].[Act AVG Price EUR MTD/YTD]"/>
    <s v="[Dim_Calendar].[Quarter].&amp;[Qrt 4]"/>
    <s v="[Pipeline].[Country Pipeline].&amp;[Taiwan]"/>
    <s v="[Dim_Company].[Company SAP Hierarchy].[Platform].&amp;[EDPR-APAC]"/>
    <s v="[FCT_KPI_VAL].[COD_UNIT_OF_MEASURE].&amp;[EUR]"/>
    <s v="[DIM_KPI_MASTERDATA].[COD_REVAMP].&amp;[1007440]"/>
    <s v="[Measures].[Act CAPACITY GROSS]"/>
    <s v="[DIM_KPI_MASTERDATA].[COD_REVAMP].&amp;[1005590]"/>
    <s v="[FCT_KPI_VAL].[DESC_DETAIL].&amp;[EDP+Contractors]"/>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CALENDAR].[COD_MONTH].&amp;[202301],[DIM_CALENDAR].[COD_MONTH].&amp;[202302],[DIM_CALENDAR].[COD_MONTH].&amp;[202303]}"/>
    <s v="[DIM_REPORTING_UNIT].[COD_COUNTRY].&amp;[CL]"/>
    <s v="[DIM_REPORTING_UNIT].[COD_COUNTRY].&amp;[VN]"/>
    <s v="[Measures].[Act CAPACITY EBITDA + NET EQUITY]"/>
    <s v="[Dim_Park].[Admin Division 1].&amp;[Illinois]"/>
    <s v="[DIM_REPORTING_UNIT].[COD_COUNTRY].&amp;[FR]"/>
    <s v="[DIM_PARK].[DESC_ADMIN_DIVISION_1].&amp;[Arkansas]"/>
    <s v="[DIM_REPORTING_UNIT].[COD_COUNTRY].&amp;[TW]"/>
    <s v="[DIM_REPORTING_UNIT].[COD_COUNTRY].&amp;[GB]"/>
    <s v="{([DIM_PARK].[DESC_SUBTECHNOLOGY].&amp;[DG]),([DIM_PARK].[DESC_SUBTECHNOLOGY].&amp;[Storage])}"/>
    <s v="[DIM_PARK].[DESC_ADMIN_DIVISION_1].&amp;[North Carolina]"/>
    <s v="[DIM_PARK].[DESC_SUBTECHNOLOGY].&amp;[Solar Utility Scale]"/>
    <s v="[DIM_PARK].[DESC_ADMIN_DIVISION_1].&amp;[Kansas]"/>
    <s v="[DIM_REPORTING_UNIT].[COD_COUNTRY].&amp;[BE]"/>
    <s v="[DIM_PARK].[DESC_ADMIN_DIVISION_1].&amp;[South Carolina]"/>
    <s v="[FCT_PARK_EDPR].[COD_INDICATOR].&amp;[MW_GROSS]"/>
    <s v="[FCT_PROJECT_EDPR].[DESC_OPERATIONAL_STATUS].&amp;[Construction]"/>
    <s v="[DIM_PARK].[DESC_ADMIN_DIVISION_1].&amp;[Minnesota]"/>
  </metadataStrings>
  <mdxMetadata count="623">
    <mdx n="0" f="v">
      <t c="10">
        <n x="1"/>
        <n x="57"/>
        <n x="10"/>
        <n x="3"/>
        <n x="4"/>
        <n x="12"/>
        <n x="2"/>
        <n x="6"/>
        <n x="17"/>
        <n x="52"/>
      </t>
    </mdx>
    <mdx n="0" f="v">
      <t c="10">
        <n x="1"/>
        <n x="57"/>
        <n x="10"/>
        <n x="3"/>
        <n x="4"/>
        <n x="12"/>
        <n x="2"/>
        <n x="6"/>
        <n x="17"/>
        <n x="53"/>
      </t>
    </mdx>
    <mdx n="0" f="v">
      <t c="5">
        <n x="1"/>
        <n x="57"/>
        <n x="51"/>
        <n x="2"/>
        <n x="54"/>
      </t>
    </mdx>
    <mdx n="0" f="v">
      <t c="5">
        <n x="1"/>
        <n x="57"/>
        <n x="51"/>
        <n x="2"/>
        <n x="56"/>
      </t>
    </mdx>
    <mdx n="0" f="v">
      <t c="5">
        <n x="1"/>
        <n x="57"/>
        <n x="51"/>
        <n x="2"/>
        <n x="55"/>
      </t>
    </mdx>
    <mdx n="0" f="v">
      <t c="5">
        <n x="2"/>
        <n x="57"/>
        <n x="50"/>
        <n x="1"/>
        <n x="5"/>
      </t>
    </mdx>
    <mdx n="0" f="v">
      <t c="6">
        <n x="11"/>
        <n x="57"/>
        <n x="12"/>
        <n x="16"/>
        <n x="2"/>
        <n x="15"/>
      </t>
    </mdx>
    <mdx n="0" f="v">
      <t c="4">
        <n x="11"/>
        <n x="8"/>
        <n x="2"/>
        <n x="57"/>
      </t>
    </mdx>
    <mdx n="0" f="v">
      <t c="6">
        <n x="11"/>
        <n x="57"/>
        <n x="12"/>
        <n x="14"/>
        <n x="2"/>
        <n x="13"/>
      </t>
    </mdx>
    <mdx n="0" f="v">
      <t c="7">
        <n x="1"/>
        <n x="62"/>
        <n x="58"/>
        <n x="20"/>
        <n x="2"/>
        <n x="18"/>
        <n x="59"/>
      </t>
    </mdx>
    <mdx n="0" f="v">
      <t c="7">
        <n x="1"/>
        <n x="63"/>
        <n x="58"/>
        <n x="20"/>
        <n x="2"/>
        <n x="18"/>
        <n x="59"/>
      </t>
    </mdx>
    <mdx n="0" f="v">
      <t c="7">
        <n x="1"/>
        <n x="64"/>
        <n x="57"/>
        <n x="20"/>
        <n x="2"/>
        <n x="5"/>
        <n x="59"/>
      </t>
    </mdx>
    <mdx n="0" f="v">
      <t c="7">
        <n x="1"/>
        <n x="62"/>
        <n x="57"/>
        <n x="20"/>
        <n x="2"/>
        <n x="18"/>
        <n x="59"/>
      </t>
    </mdx>
    <mdx n="0" f="v">
      <t c="7">
        <n x="1"/>
        <n x="66"/>
        <n x="57"/>
        <n x="25"/>
        <n x="2"/>
        <n x="18"/>
        <n x="59"/>
      </t>
    </mdx>
    <mdx n="0" f="v">
      <t c="7">
        <n x="1"/>
        <n x="65"/>
        <n x="58"/>
        <n x="25"/>
        <n x="2"/>
        <n x="18"/>
        <n x="59"/>
      </t>
    </mdx>
    <mdx n="0" f="v">
      <t c="7">
        <n x="1"/>
        <n x="67"/>
        <n x="58"/>
        <n x="25"/>
        <n x="2"/>
        <n x="18"/>
        <n x="59"/>
      </t>
    </mdx>
    <mdx n="0" f="v">
      <t c="7">
        <n x="1"/>
        <n x="69"/>
        <n x="57"/>
        <n x="25"/>
        <n x="2"/>
        <n x="18"/>
        <n x="59"/>
      </t>
    </mdx>
    <mdx n="0" f="v">
      <t c="7">
        <n x="1"/>
        <n x="65"/>
        <n x="57"/>
        <n x="25"/>
        <n x="2"/>
        <n x="18"/>
        <n x="59"/>
      </t>
    </mdx>
    <mdx n="0" f="v">
      <t c="7">
        <n x="1"/>
        <n x="69"/>
        <n x="58"/>
        <n x="25"/>
        <n x="2"/>
        <n x="18"/>
        <n x="59"/>
      </t>
    </mdx>
    <mdx n="0" f="v">
      <t c="7">
        <n x="1"/>
        <n x="71"/>
        <n x="57"/>
        <n x="25"/>
        <n x="2"/>
        <n x="18"/>
        <n x="59"/>
      </t>
    </mdx>
    <mdx n="0" f="v">
      <t c="7">
        <n x="1"/>
        <n x="66"/>
        <n x="58"/>
        <n x="25"/>
        <n x="2"/>
        <n x="18"/>
        <n x="59"/>
      </t>
    </mdx>
    <mdx n="0" f="v">
      <t c="7">
        <n x="1"/>
        <n x="67"/>
        <n x="57"/>
        <n x="25"/>
        <n x="2"/>
        <n x="18"/>
        <n x="59"/>
      </t>
    </mdx>
    <mdx n="0" f="v">
      <t c="7">
        <n x="1"/>
        <n x="68"/>
        <n x="58"/>
        <n x="25"/>
        <n x="2"/>
        <n x="18"/>
        <n x="59"/>
      </t>
    </mdx>
    <mdx n="0" f="v">
      <t c="7">
        <n x="1"/>
        <n x="68"/>
        <n x="57"/>
        <n x="25"/>
        <n x="2"/>
        <n x="18"/>
        <n x="59"/>
      </t>
    </mdx>
    <mdx n="0" f="v">
      <t c="7">
        <n x="1"/>
        <n x="70"/>
        <n x="58"/>
        <n x="25"/>
        <n x="2"/>
        <n x="18"/>
        <n x="59"/>
      </t>
    </mdx>
    <mdx n="0" f="v">
      <t c="7">
        <n x="1"/>
        <n x="70"/>
        <n x="57"/>
        <n x="25"/>
        <n x="2"/>
        <n x="18"/>
        <n x="59"/>
      </t>
    </mdx>
    <mdx n="0" f="v">
      <t c="7">
        <n x="1"/>
        <n x="63"/>
        <n x="57"/>
        <n x="20"/>
        <n x="2"/>
        <n x="18"/>
        <n x="59"/>
      </t>
    </mdx>
    <mdx n="0" f="v">
      <t c="6">
        <n x="5"/>
        <n x="78"/>
        <n x="1"/>
        <n x="2"/>
        <n x="72"/>
        <n x="73"/>
      </t>
    </mdx>
    <mdx n="0" f="v">
      <t c="6">
        <n x="5"/>
        <n x="78"/>
        <n x="1"/>
        <n x="2"/>
        <n x="72"/>
        <n x="74"/>
      </t>
    </mdx>
    <mdx n="0" f="v">
      <t c="6">
        <n x="75"/>
        <n x="78"/>
        <n x="76"/>
        <n x="2"/>
        <n x="72"/>
        <n x="73"/>
      </t>
    </mdx>
    <mdx n="0" f="v">
      <t c="6">
        <n x="75"/>
        <n x="78"/>
        <n x="76"/>
        <n x="2"/>
        <n x="72"/>
        <n x="74"/>
      </t>
    </mdx>
    <mdx n="0" f="v">
      <t c="7">
        <n x="1"/>
        <n x="46"/>
        <n x="78"/>
        <n x="32"/>
        <n x="2"/>
        <n x="18"/>
        <n x="59"/>
      </t>
    </mdx>
    <mdx n="0" f="v">
      <t c="7">
        <n x="1"/>
        <n x="40"/>
        <n x="78"/>
        <n x="41"/>
        <n x="2"/>
        <n x="5"/>
        <n x="59"/>
      </t>
    </mdx>
    <mdx n="0" f="v">
      <t c="7">
        <n x="1"/>
        <n x="33"/>
        <n x="78"/>
        <n x="25"/>
        <n x="2"/>
        <n x="18"/>
        <n x="59"/>
      </t>
    </mdx>
    <mdx n="0" f="v">
      <t c="8">
        <n x="1"/>
        <n x="61"/>
        <n x="78"/>
        <n x="20"/>
        <n x="2"/>
        <n x="5"/>
        <n x="21"/>
        <n x="59"/>
      </t>
    </mdx>
    <mdx n="0" f="v">
      <t c="7">
        <n x="1"/>
        <n x="69"/>
        <n x="78"/>
        <n x="25"/>
        <n x="2"/>
        <n x="18"/>
        <n x="59"/>
      </t>
    </mdx>
    <mdx n="0" f="v">
      <t c="7">
        <n x="1"/>
        <n x="63"/>
        <n x="78"/>
        <n x="20"/>
        <n x="2"/>
        <n x="18"/>
        <n x="59"/>
      </t>
    </mdx>
    <mdx n="0" f="v">
      <t c="7">
        <n x="1"/>
        <n x="62"/>
        <n x="78"/>
        <n x="20"/>
        <n x="2"/>
        <n x="18"/>
        <n x="59"/>
      </t>
    </mdx>
    <mdx n="0" f="v">
      <t c="7">
        <n x="1"/>
        <n x="48"/>
        <n x="78"/>
        <n x="49"/>
        <n x="2"/>
        <n x="5"/>
        <n x="59"/>
      </t>
    </mdx>
    <mdx n="0" f="v">
      <t c="7">
        <n x="1"/>
        <n x="38"/>
        <n x="78"/>
        <n x="25"/>
        <n x="2"/>
        <n x="18"/>
        <n x="59"/>
      </t>
    </mdx>
    <mdx n="0" f="v">
      <t c="7">
        <n x="1"/>
        <n x="30"/>
        <n x="78"/>
        <n x="20"/>
        <n x="2"/>
        <n x="18"/>
        <n x="59"/>
      </t>
    </mdx>
    <mdx n="0" f="v">
      <t c="7">
        <n x="1"/>
        <n x="45"/>
        <n x="78"/>
        <n x="20"/>
        <n x="2"/>
        <n x="18"/>
        <n x="59"/>
      </t>
    </mdx>
    <mdx n="0" f="v">
      <t c="7">
        <n x="1"/>
        <n x="44"/>
        <n x="78"/>
        <n x="41"/>
        <n x="2"/>
        <n x="5"/>
        <n x="59"/>
      </t>
    </mdx>
    <mdx n="0" f="v">
      <t c="7">
        <n x="1"/>
        <n x="39"/>
        <n x="78"/>
        <n x="37"/>
        <n x="2"/>
        <n x="18"/>
        <n x="59"/>
      </t>
    </mdx>
    <mdx n="0" f="v">
      <t c="7">
        <n x="1"/>
        <n x="47"/>
        <n x="78"/>
        <n x="37"/>
        <n x="2"/>
        <n x="18"/>
        <n x="59"/>
      </t>
    </mdx>
    <mdx n="0" f="v">
      <t c="7">
        <n x="1"/>
        <n x="34"/>
        <n x="78"/>
        <n x="37"/>
        <n x="2"/>
        <n x="18"/>
        <n x="59"/>
      </t>
    </mdx>
    <mdx n="0" f="v">
      <t c="7">
        <n x="1"/>
        <n x="42"/>
        <n x="78"/>
        <n x="36"/>
        <n x="2"/>
        <n x="18"/>
        <n x="59"/>
      </t>
    </mdx>
    <mdx n="0" f="v">
      <t c="7">
        <n x="1"/>
        <n x="35"/>
        <n x="78"/>
        <n x="36"/>
        <n x="2"/>
        <n x="18"/>
        <n x="59"/>
      </t>
    </mdx>
    <mdx n="0" f="v">
      <t c="7">
        <n x="1"/>
        <n x="43"/>
        <n x="78"/>
        <n x="25"/>
        <n x="2"/>
        <n x="18"/>
        <n x="59"/>
      </t>
    </mdx>
    <mdx n="0" f="v">
      <t c="8">
        <n x="1"/>
        <n x="23"/>
        <n x="78"/>
        <n x="20"/>
        <n x="2"/>
        <n x="5"/>
        <n x="22"/>
        <n x="59"/>
      </t>
    </mdx>
    <mdx n="0" f="v">
      <t c="8">
        <n x="1"/>
        <n x="19"/>
        <n x="78"/>
        <n x="20"/>
        <n x="2"/>
        <n x="5"/>
        <n x="21"/>
        <n x="59"/>
      </t>
    </mdx>
    <mdx n="0" f="v">
      <t c="6">
        <n x="11"/>
        <n x="78"/>
        <n x="12"/>
        <n x="16"/>
        <n x="2"/>
        <n x="13"/>
      </t>
    </mdx>
    <mdx n="0" f="v">
      <t c="6">
        <n x="11"/>
        <n x="78"/>
        <n x="12"/>
        <n x="16"/>
        <n x="2"/>
        <n x="15"/>
      </t>
    </mdx>
    <mdx n="0" f="v">
      <t c="6">
        <n x="11"/>
        <n x="78"/>
        <n x="12"/>
        <n x="14"/>
        <n x="2"/>
        <n x="15"/>
      </t>
    </mdx>
    <mdx n="0" f="v">
      <t c="7">
        <n x="1"/>
        <n x="71"/>
        <n x="78"/>
        <n x="25"/>
        <n x="2"/>
        <n x="18"/>
        <n x="59"/>
      </t>
    </mdx>
    <mdx n="0" f="v">
      <t c="4">
        <n x="1"/>
        <n x="64"/>
        <n x="78"/>
        <n x="2"/>
      </t>
    </mdx>
    <mdx n="0" f="v">
      <t c="7">
        <n x="1"/>
        <n x="66"/>
        <n x="78"/>
        <n x="25"/>
        <n x="2"/>
        <n x="18"/>
        <n x="59"/>
      </t>
    </mdx>
    <mdx n="0" f="v">
      <t c="8">
        <n x="11"/>
        <n x="8"/>
        <n x="2"/>
        <n x="57"/>
        <n x="8"/>
        <n x="2"/>
        <n x="9"/>
        <n x="5"/>
      </t>
    </mdx>
    <mdx n="0" f="v">
      <t c="6">
        <n x="11"/>
        <n x="79"/>
        <n x="12"/>
        <n x="16"/>
        <n x="2"/>
        <n x="13"/>
      </t>
    </mdx>
    <mdx n="0" f="v">
      <t c="4">
        <n x="11"/>
        <n x="7"/>
        <n x="2"/>
        <n x="79"/>
      </t>
    </mdx>
    <mdx n="0" f="v">
      <t c="6">
        <n x="11"/>
        <n x="79"/>
        <n x="12"/>
        <n x="14"/>
        <n x="2"/>
        <n x="15"/>
      </t>
    </mdx>
    <mdx n="80" f="v">
      <t c="4">
        <n x="81"/>
        <n x="82"/>
        <n x="84"/>
        <n x="83"/>
      </t>
    </mdx>
    <mdx n="80" f="v">
      <t c="4">
        <n x="81"/>
        <n x="82"/>
        <n x="83"/>
        <n x="85"/>
      </t>
    </mdx>
    <mdx n="80" f="v">
      <t c="4">
        <n x="81"/>
        <n x="82"/>
        <n x="83"/>
        <n x="86"/>
      </t>
    </mdx>
    <mdx n="0" f="v">
      <t c="6">
        <n x="5"/>
        <n x="79"/>
        <n x="1"/>
        <n x="2"/>
        <n x="72"/>
        <n x="73"/>
      </t>
    </mdx>
    <mdx n="0" f="v">
      <t c="6">
        <n x="75"/>
        <n x="79"/>
        <n x="76"/>
        <n x="2"/>
        <n x="72"/>
        <n x="73"/>
      </t>
    </mdx>
    <mdx n="0" f="v">
      <t c="6">
        <n x="5"/>
        <n x="79"/>
        <n x="1"/>
        <n x="2"/>
        <n x="72"/>
        <n x="74"/>
      </t>
    </mdx>
    <mdx n="0" f="v">
      <t c="6">
        <n x="75"/>
        <n x="79"/>
        <n x="76"/>
        <n x="2"/>
        <n x="72"/>
        <n x="74"/>
      </t>
    </mdx>
    <mdx n="80" f="v">
      <t c="4">
        <n x="81"/>
        <n x="82"/>
        <n x="83"/>
        <n x="83"/>
      </t>
    </mdx>
    <mdx n="80" f="v">
      <t c="4">
        <n x="81"/>
        <n x="87"/>
        <n x="83"/>
        <n x="89"/>
      </t>
    </mdx>
    <mdx n="80" f="v">
      <t c="4">
        <n x="81"/>
        <n x="87"/>
        <n x="83"/>
        <n x="90" s="1"/>
      </t>
    </mdx>
    <mdx n="80" f="v">
      <t c="4">
        <n x="81"/>
        <n x="82"/>
        <n x="83"/>
        <n x="88"/>
      </t>
    </mdx>
    <mdx n="80" f="v">
      <t c="4">
        <n x="81"/>
        <n x="82"/>
        <n x="91"/>
        <n x="92"/>
      </t>
    </mdx>
    <mdx n="80" f="v">
      <t c="4">
        <n x="81"/>
        <n x="82"/>
        <n x="91"/>
        <n x="93"/>
      </t>
    </mdx>
    <mdx n="103" f="v">
      <t c="4" si="106">
        <n x="81"/>
        <n x="82"/>
        <n x="104"/>
        <n x="105"/>
      </t>
    </mdx>
    <mdx n="80" f="v">
      <t c="4">
        <n x="81"/>
        <n x="82"/>
        <n x="96"/>
        <n x="108"/>
      </t>
    </mdx>
    <mdx n="80" f="v">
      <t c="3">
        <n x="81"/>
        <n x="82"/>
        <n x="109"/>
      </t>
    </mdx>
    <mdx n="80" f="v">
      <t c="4">
        <n x="81"/>
        <n x="110" s="1"/>
        <n x="84"/>
        <n x="83"/>
      </t>
    </mdx>
    <mdx n="80" f="v">
      <t c="4">
        <n x="81"/>
        <n x="110" s="1"/>
        <n x="113"/>
        <n x="114"/>
      </t>
    </mdx>
    <mdx n="80" f="v">
      <t c="5">
        <n x="81"/>
        <n x="82"/>
        <n x="101"/>
        <n x="117"/>
        <n x="130"/>
      </t>
    </mdx>
    <mdx n="80" f="v">
      <t c="5">
        <n x="81"/>
        <n x="82"/>
        <n x="116" s="1"/>
        <n x="117"/>
        <n x="119"/>
      </t>
    </mdx>
    <mdx n="80" f="v">
      <t c="5">
        <n x="81"/>
        <n x="82"/>
        <n x="120"/>
        <n x="122"/>
        <n x="127" s="1"/>
      </t>
    </mdx>
    <mdx n="80" f="v">
      <t c="5">
        <n x="81"/>
        <n x="82"/>
        <n x="120"/>
        <n x="83"/>
        <n x="132"/>
      </t>
    </mdx>
    <mdx n="80" f="v">
      <t c="4">
        <n x="81"/>
        <n x="82"/>
        <n x="91"/>
        <n x="112"/>
      </t>
    </mdx>
    <mdx n="97" f="v">
      <t c="3" si="107">
        <n x="87"/>
        <n x="95" s="1"/>
        <n x="93"/>
      </t>
    </mdx>
    <mdx n="97" f="v">
      <t c="4" si="107">
        <n x="87"/>
        <n x="95" s="1"/>
        <n x="93"/>
        <n x="93"/>
      </t>
    </mdx>
    <mdx n="97" f="v">
      <t c="4" si="107">
        <n x="94"/>
        <n x="87"/>
        <n x="95" s="1"/>
        <n x="93"/>
      </t>
    </mdx>
    <mdx n="80" f="v">
      <t c="5">
        <n x="81"/>
        <n x="82"/>
        <n x="109"/>
        <n x="86"/>
        <n x="102"/>
      </t>
    </mdx>
    <mdx n="80" f="v">
      <t c="5">
        <n x="81"/>
        <n x="82"/>
        <n x="83"/>
        <n x="86"/>
        <n x="111" s="1"/>
      </t>
    </mdx>
    <mdx n="80" f="v">
      <t c="5">
        <n x="81"/>
        <n x="82"/>
        <n x="120"/>
        <n x="83"/>
        <n x="102"/>
      </t>
    </mdx>
    <mdx n="80" f="v">
      <t c="5">
        <n x="81"/>
        <n x="82"/>
        <n x="109"/>
        <n x="86"/>
        <n x="111" s="1"/>
      </t>
    </mdx>
    <mdx n="80" f="v">
      <t c="5">
        <n x="81"/>
        <n x="82"/>
        <n x="128" s="1"/>
        <n x="83"/>
        <n x="129"/>
      </t>
    </mdx>
    <mdx n="80" f="v">
      <t c="5">
        <n x="81"/>
        <n x="82"/>
        <n x="120"/>
        <n x="83"/>
        <n x="123"/>
      </t>
    </mdx>
    <mdx n="80" f="v">
      <t c="5" si="124">
        <n x="81"/>
        <n x="82"/>
        <n x="121" s="1"/>
        <n x="122"/>
        <n x="111" s="1"/>
      </t>
    </mdx>
    <mdx n="80" f="v">
      <t c="5" si="124">
        <n x="81"/>
        <n x="82"/>
        <n x="125"/>
        <n x="122"/>
        <n x="90" s="1"/>
      </t>
    </mdx>
    <mdx n="80" f="v">
      <t c="5" si="124">
        <n x="81"/>
        <n x="82"/>
        <n x="121" s="1"/>
        <n x="122"/>
        <n x="130"/>
      </t>
    </mdx>
    <mdx n="80" f="v">
      <t c="5" si="124">
        <n x="81"/>
        <n x="82"/>
        <n x="121" s="1"/>
        <n x="122"/>
        <n x="127" s="1"/>
      </t>
    </mdx>
    <mdx n="80" f="v">
      <t c="4">
        <n x="81"/>
        <n x="82"/>
        <n x="83"/>
        <n x="131"/>
      </t>
    </mdx>
    <mdx n="80" f="v">
      <t c="4">
        <n x="115"/>
        <n x="82"/>
        <n x="109"/>
        <n x="118" s="1"/>
      </t>
    </mdx>
    <mdx n="80" f="v">
      <t c="4">
        <n x="81"/>
        <n x="82"/>
        <n x="91"/>
        <n x="111" s="1"/>
      </t>
    </mdx>
    <mdx n="80" f="v">
      <t c="4">
        <n x="81"/>
        <n x="87"/>
        <n x="109"/>
        <n x="118" s="1"/>
      </t>
    </mdx>
    <mdx n="80" f="v">
      <t c="4">
        <n x="99"/>
        <n x="82"/>
        <n x="100"/>
        <n x="92"/>
      </t>
    </mdx>
    <mdx n="103" f="v">
      <t c="4">
        <n x="99"/>
        <n x="82"/>
        <n x="100"/>
        <n x="126"/>
      </t>
    </mdx>
    <mdx n="80" f="v">
      <t c="4">
        <n x="81"/>
        <n x="82"/>
        <n x="91"/>
        <n x="108"/>
      </t>
    </mdx>
    <mdx n="80" f="v">
      <t c="4">
        <n x="94"/>
        <n x="82"/>
        <n x="96"/>
        <n x="98"/>
      </t>
    </mdx>
    <mdx n="80" f="v">
      <t c="4">
        <n x="81"/>
        <n x="82"/>
        <n x="95" s="1"/>
        <n x="92"/>
      </t>
    </mdx>
    <mdx n="80" f="v">
      <t c="4">
        <n x="81"/>
        <n x="87"/>
        <n x="101"/>
        <n x="102"/>
      </t>
    </mdx>
    <mdx n="80" f="v">
      <t c="4">
        <n x="81"/>
        <n x="82"/>
        <n x="91"/>
        <n x="129"/>
      </t>
    </mdx>
    <mdx n="97" f="v">
      <t c="3" si="107">
        <n x="81"/>
        <n x="82"/>
        <n x="93"/>
      </t>
    </mdx>
    <mdx n="80" f="v">
      <t c="4">
        <n x="81"/>
        <n x="82"/>
        <n x="91"/>
        <n x="94"/>
      </t>
    </mdx>
    <mdx n="80" f="v">
      <t c="4">
        <n x="81"/>
        <n x="82"/>
        <n x="83"/>
        <n x="127" s="1"/>
      </t>
    </mdx>
    <mdx n="97" f="v">
      <t c="4" si="107">
        <n x="81"/>
        <n x="82"/>
        <n x="91"/>
        <n x="111" s="1"/>
      </t>
    </mdx>
    <mdx n="97" f="v">
      <t c="3" si="107">
        <n x="81"/>
        <n x="82"/>
        <n x="135"/>
      </t>
    </mdx>
    <mdx n="80" f="v">
      <t c="4">
        <n x="81"/>
        <n x="82"/>
        <n x="83"/>
        <n x="117"/>
      </t>
    </mdx>
    <mdx n="80" f="v">
      <t c="4">
        <n x="115"/>
        <n x="87"/>
        <n x="83"/>
        <n x="90" s="1"/>
      </t>
    </mdx>
    <mdx n="80" f="v">
      <t c="4">
        <n x="115"/>
        <n x="87"/>
        <n x="83"/>
        <n x="88"/>
      </t>
    </mdx>
    <mdx n="80" f="v">
      <t c="4">
        <n x="99"/>
        <n x="82"/>
        <n x="100"/>
        <n x="114"/>
      </t>
    </mdx>
    <mdx n="97" f="v">
      <t c="3" si="107">
        <n x="81"/>
        <n x="82"/>
        <n x="120"/>
      </t>
    </mdx>
    <mdx n="97" f="v">
      <t c="3" si="107">
        <n x="81"/>
        <n x="134"/>
        <n x="84"/>
      </t>
    </mdx>
    <mdx n="97" f="v">
      <t c="3" si="107">
        <n x="81"/>
        <n x="82"/>
        <n x="95" s="1"/>
      </t>
    </mdx>
    <mdx n="97" f="v">
      <t c="4" si="107">
        <n x="81"/>
        <n x="82"/>
        <n x="96"/>
        <n x="108"/>
      </t>
    </mdx>
    <mdx n="97" f="v">
      <t c="3" si="107">
        <n x="81"/>
        <n x="87"/>
        <n x="93"/>
      </t>
    </mdx>
    <mdx n="97" f="v">
      <t c="4" si="107">
        <n x="81"/>
        <n x="82"/>
        <n x="120"/>
        <n x="94"/>
      </t>
    </mdx>
    <mdx n="80" f="v">
      <t c="4">
        <n x="81"/>
        <n x="82"/>
        <n x="95" s="1"/>
        <n x="93"/>
      </t>
    </mdx>
    <mdx n="80" f="v">
      <t c="4">
        <n x="81"/>
        <n x="82"/>
        <n x="109"/>
        <n x="139"/>
      </t>
    </mdx>
    <mdx n="80" f="v">
      <t c="4">
        <n x="94"/>
        <n x="134"/>
        <n x="91"/>
        <n x="129"/>
      </t>
    </mdx>
    <mdx n="80" f="v">
      <t c="4">
        <n x="138"/>
        <n x="82"/>
        <n x="95" s="1"/>
        <n x="93"/>
      </t>
    </mdx>
    <mdx n="80" f="v">
      <t c="4">
        <n x="81"/>
        <n x="82"/>
        <n x="95" s="1"/>
        <n x="123"/>
      </t>
    </mdx>
    <mdx n="97" f="v">
      <t c="4" si="107">
        <n x="81"/>
        <n x="82"/>
        <n x="136"/>
        <n x="137"/>
      </t>
    </mdx>
    <mdx n="0" f="v">
      <t c="7">
        <n x="1"/>
        <n x="38"/>
        <n x="79"/>
        <n x="25"/>
        <n x="2"/>
        <n x="18"/>
        <n x="59"/>
      </t>
    </mdx>
    <mdx n="0" f="v">
      <t c="8">
        <n x="1"/>
        <n x="61"/>
        <n x="79"/>
        <n x="20"/>
        <n x="2"/>
        <n x="5"/>
        <n x="22"/>
        <n x="59"/>
      </t>
    </mdx>
    <mdx n="0" f="v">
      <t c="7">
        <n x="1"/>
        <n x="65"/>
        <n x="79"/>
        <n x="25"/>
        <n x="2"/>
        <n x="18"/>
        <n x="59"/>
      </t>
    </mdx>
    <mdx n="0" f="v">
      <t c="7">
        <n x="1"/>
        <n x="71"/>
        <n x="79"/>
        <n x="25"/>
        <n x="2"/>
        <n x="18"/>
        <n x="59"/>
      </t>
    </mdx>
    <mdx n="0" f="v">
      <t c="4">
        <n x="1"/>
        <n x="64"/>
        <n x="79"/>
        <n x="2"/>
      </t>
    </mdx>
    <mdx n="0" f="v">
      <t c="7">
        <n x="1"/>
        <n x="66"/>
        <n x="79"/>
        <n x="25"/>
        <n x="2"/>
        <n x="18"/>
        <n x="59"/>
      </t>
    </mdx>
    <mdx n="0" f="v">
      <t c="7">
        <n x="1"/>
        <n x="69"/>
        <n x="79"/>
        <n x="25"/>
        <n x="2"/>
        <n x="18"/>
        <n x="59"/>
      </t>
    </mdx>
    <mdx n="0" f="v">
      <t c="7">
        <n x="1"/>
        <n x="70"/>
        <n x="79"/>
        <n x="25"/>
        <n x="2"/>
        <n x="18"/>
        <n x="59"/>
      </t>
    </mdx>
    <mdx n="0" f="v">
      <t c="7">
        <n x="1"/>
        <n x="63"/>
        <n x="79"/>
        <n x="20"/>
        <n x="2"/>
        <n x="18"/>
        <n x="59"/>
      </t>
    </mdx>
    <mdx n="0" f="v">
      <t c="7">
        <n x="1"/>
        <n x="62"/>
        <n x="79"/>
        <n x="20"/>
        <n x="2"/>
        <n x="18"/>
        <n x="59"/>
      </t>
    </mdx>
    <mdx n="0" f="v">
      <t c="6">
        <n x="11"/>
        <n x="57"/>
        <n x="12"/>
        <n x="16"/>
        <n x="2"/>
        <n x="13"/>
      </t>
    </mdx>
    <mdx n="0" f="v">
      <t c="10">
        <n x="1"/>
        <n x="78"/>
        <n x="10"/>
        <n x="3"/>
        <n x="4"/>
        <n x="12"/>
        <n x="2"/>
        <n x="6"/>
        <n x="17"/>
        <n x="52"/>
      </t>
    </mdx>
    <mdx n="0" f="v">
      <t c="10">
        <n x="1"/>
        <n x="79"/>
        <n x="10"/>
        <n x="3"/>
        <n x="4"/>
        <n x="12"/>
        <n x="2"/>
        <n x="6"/>
        <n x="17"/>
        <n x="52"/>
      </t>
    </mdx>
    <mdx n="0" f="v">
      <t c="10">
        <n x="1"/>
        <n x="79"/>
        <n x="10"/>
        <n x="3"/>
        <n x="4"/>
        <n x="12"/>
        <n x="2"/>
        <n x="6"/>
        <n x="17"/>
        <n x="53"/>
      </t>
    </mdx>
    <mdx n="0" f="v">
      <t c="5">
        <n x="1"/>
        <n x="79"/>
        <n x="51"/>
        <n x="2"/>
        <n x="54"/>
      </t>
    </mdx>
    <mdx n="0" f="v">
      <t c="5">
        <n x="1"/>
        <n x="79"/>
        <n x="51"/>
        <n x="2"/>
        <n x="56"/>
      </t>
    </mdx>
    <mdx n="0" f="v">
      <t c="5">
        <n x="1"/>
        <n x="79"/>
        <n x="51"/>
        <n x="2"/>
        <n x="55"/>
      </t>
    </mdx>
    <mdx n="80" f="v">
      <t c="5">
        <n x="81"/>
        <n x="82"/>
        <n x="128" s="1"/>
        <n x="140"/>
        <n x="85"/>
      </t>
    </mdx>
    <mdx n="0" f="v">
      <t c="10">
        <n x="1"/>
        <n x="142"/>
        <n x="10"/>
        <n x="3"/>
        <n x="4"/>
        <n x="12"/>
        <n x="2"/>
        <n x="6"/>
        <n x="17"/>
        <n x="53"/>
      </t>
    </mdx>
    <mdx n="0" f="v">
      <t c="5">
        <n x="1"/>
        <n x="142"/>
        <n x="51"/>
        <n x="2"/>
        <n x="56"/>
      </t>
    </mdx>
    <mdx n="80" f="v">
      <t c="4">
        <n x="81"/>
        <n x="143"/>
        <n x="91"/>
        <n x="111" s="1"/>
      </t>
    </mdx>
    <mdx n="80" f="v">
      <t c="4">
        <n x="81"/>
        <n x="82"/>
        <n x="83"/>
        <n x="90" s="1"/>
      </t>
    </mdx>
    <mdx n="80" f="v">
      <t c="4">
        <n x="81"/>
        <n x="82"/>
        <n x="104"/>
        <n x="133"/>
      </t>
    </mdx>
    <mdx n="0" f="v">
      <t c="7">
        <n x="1"/>
        <n x="48"/>
        <n x="79"/>
        <n x="49"/>
        <n x="2"/>
        <n x="5"/>
        <n x="59"/>
      </t>
    </mdx>
    <mdx n="0" f="v">
      <t c="6">
        <n x="5"/>
        <n x="142"/>
        <n x="1"/>
        <n x="2"/>
        <n x="72"/>
        <n x="74"/>
      </t>
    </mdx>
    <mdx n="0" f="v">
      <t c="6">
        <n x="5"/>
        <n x="142"/>
        <n x="1"/>
        <n x="2"/>
        <n x="72"/>
        <n x="73"/>
      </t>
    </mdx>
    <mdx n="0" f="v">
      <t c="6">
        <n x="75"/>
        <n x="142"/>
        <n x="76"/>
        <n x="2"/>
        <n x="72"/>
        <n x="73"/>
      </t>
    </mdx>
    <mdx n="0" f="v">
      <t c="6">
        <n x="75"/>
        <n x="142"/>
        <n x="76"/>
        <n x="2"/>
        <n x="72"/>
        <n x="74"/>
      </t>
    </mdx>
    <mdx n="80" f="v">
      <t c="4">
        <n x="81"/>
        <n x="143"/>
        <n x="91"/>
        <n x="102"/>
      </t>
    </mdx>
    <mdx n="0" f="v">
      <t c="5">
        <n x="2"/>
        <n x="78"/>
        <n x="50"/>
        <n x="1"/>
        <n x="5"/>
      </t>
    </mdx>
    <mdx n="97" f="v">
      <t c="4" si="107">
        <n x="85"/>
        <n x="87"/>
        <n x="95" s="1"/>
        <n x="145"/>
      </t>
    </mdx>
    <mdx n="80" f="v">
      <t c="4">
        <n x="81"/>
        <n x="143"/>
        <n x="83"/>
        <n x="92"/>
      </t>
    </mdx>
    <mdx n="80" f="v">
      <t c="4">
        <n x="81"/>
        <n x="143"/>
        <n x="91"/>
        <n x="133"/>
      </t>
    </mdx>
    <mdx n="80" f="v">
      <t c="4">
        <n x="81"/>
        <n x="143"/>
        <n x="91"/>
        <n x="98"/>
      </t>
    </mdx>
    <mdx n="0" f="v">
      <t c="7">
        <n x="1"/>
        <n x="35"/>
        <n x="142"/>
        <n x="36"/>
        <n x="2"/>
        <n x="18"/>
        <n x="59"/>
      </t>
    </mdx>
    <mdx n="0" f="v">
      <t c="7">
        <n x="1"/>
        <n x="26"/>
        <n x="142"/>
        <n x="25"/>
        <n x="2"/>
        <n x="18"/>
        <n x="59"/>
      </t>
    </mdx>
    <mdx n="0" f="v">
      <t c="7">
        <n x="1"/>
        <n x="65"/>
        <n x="142"/>
        <n x="25"/>
        <n x="2"/>
        <n x="18"/>
        <n x="59"/>
      </t>
    </mdx>
    <mdx n="0" f="v">
      <t c="7">
        <n x="1"/>
        <n x="40"/>
        <n x="142"/>
        <n x="41"/>
        <n x="2"/>
        <n x="5"/>
        <n x="59"/>
      </t>
    </mdx>
    <mdx n="0" f="v">
      <t c="7">
        <n x="1"/>
        <n x="48"/>
        <n x="142"/>
        <n x="49"/>
        <n x="2"/>
        <n x="5"/>
        <n x="59"/>
      </t>
    </mdx>
    <mdx n="0" f="v">
      <t c="7">
        <n x="1"/>
        <n x="39"/>
        <n x="79"/>
        <n x="37"/>
        <n x="2"/>
        <n x="18"/>
        <n x="59"/>
      </t>
    </mdx>
    <mdx n="0" f="v">
      <t c="7">
        <n x="1"/>
        <n x="44"/>
        <n x="142"/>
        <n x="41"/>
        <n x="2"/>
        <n x="5"/>
        <n x="59"/>
      </t>
    </mdx>
    <mdx n="0" f="v">
      <t c="7">
        <n x="1"/>
        <n x="47"/>
        <n x="79"/>
        <n x="37"/>
        <n x="2"/>
        <n x="18"/>
        <n x="59"/>
      </t>
    </mdx>
    <mdx n="0" f="v">
      <t c="7">
        <n x="1"/>
        <n x="35"/>
        <n x="79"/>
        <n x="36"/>
        <n x="2"/>
        <n x="18"/>
        <n x="59"/>
      </t>
    </mdx>
    <mdx n="0" f="v">
      <t c="7">
        <n x="1"/>
        <n x="28"/>
        <n x="79"/>
        <n x="29"/>
        <n x="2"/>
        <n x="18"/>
        <n x="59"/>
      </t>
    </mdx>
    <mdx n="0" f="v">
      <t c="7">
        <n x="1"/>
        <n x="24"/>
        <n x="79"/>
        <n x="25"/>
        <n x="2"/>
        <n x="18"/>
        <n x="59"/>
      </t>
    </mdx>
    <mdx n="0" f="v">
      <t c="8">
        <n x="1"/>
        <n x="23"/>
        <n x="79"/>
        <n x="20"/>
        <n x="2"/>
        <n x="5"/>
        <n x="22"/>
        <n x="59"/>
      </t>
    </mdx>
    <mdx n="0" f="v">
      <t c="7">
        <n x="1"/>
        <n x="38"/>
        <n x="142"/>
        <n x="25"/>
        <n x="2"/>
        <n x="18"/>
        <n x="59"/>
      </t>
    </mdx>
    <mdx n="0" f="v">
      <t c="7">
        <n x="1"/>
        <n x="30"/>
        <n x="142"/>
        <n x="20"/>
        <n x="2"/>
        <n x="18"/>
        <n x="59"/>
      </t>
    </mdx>
    <mdx n="0" f="v">
      <t c="7">
        <n x="1"/>
        <n x="45"/>
        <n x="142"/>
        <n x="20"/>
        <n x="2"/>
        <n x="18"/>
        <n x="59"/>
      </t>
    </mdx>
    <mdx n="0" f="v">
      <t c="7">
        <n x="1"/>
        <n x="39"/>
        <n x="142"/>
        <n x="37"/>
        <n x="2"/>
        <n x="18"/>
        <n x="59"/>
      </t>
    </mdx>
    <mdx n="0" f="v">
      <t c="7">
        <n x="1"/>
        <n x="47"/>
        <n x="142"/>
        <n x="37"/>
        <n x="2"/>
        <n x="18"/>
        <n x="59"/>
      </t>
    </mdx>
    <mdx n="0" f="v">
      <t c="7">
        <n x="1"/>
        <n x="34"/>
        <n x="142"/>
        <n x="37"/>
        <n x="2"/>
        <n x="18"/>
        <n x="59"/>
      </t>
    </mdx>
    <mdx n="0" f="v">
      <t c="7">
        <n x="1"/>
        <n x="46"/>
        <n x="142"/>
        <n x="32"/>
        <n x="2"/>
        <n x="18"/>
        <n x="59"/>
      </t>
    </mdx>
    <mdx n="0" f="v">
      <t c="7">
        <n x="1"/>
        <n x="28"/>
        <n x="142"/>
        <n x="29"/>
        <n x="2"/>
        <n x="18"/>
        <n x="59"/>
      </t>
    </mdx>
    <mdx n="0" f="v">
      <t c="7">
        <n x="1"/>
        <n x="24"/>
        <n x="142"/>
        <n x="25"/>
        <n x="2"/>
        <n x="18"/>
        <n x="59"/>
      </t>
    </mdx>
    <mdx n="0" f="v">
      <t c="8">
        <n x="1"/>
        <n x="23"/>
        <n x="142"/>
        <n x="20"/>
        <n x="2"/>
        <n x="5"/>
        <n x="21"/>
        <n x="59"/>
      </t>
    </mdx>
    <mdx n="0" f="v">
      <t c="8">
        <n x="1"/>
        <n x="23"/>
        <n x="142"/>
        <n x="20"/>
        <n x="2"/>
        <n x="5"/>
        <n x="22"/>
        <n x="59"/>
      </t>
    </mdx>
    <mdx n="0" f="v">
      <t c="8">
        <n x="1"/>
        <n x="19"/>
        <n x="142"/>
        <n x="20"/>
        <n x="2"/>
        <n x="5"/>
        <n x="21"/>
        <n x="59"/>
      </t>
    </mdx>
    <mdx n="0" f="v">
      <t c="8">
        <n x="1"/>
        <n x="61"/>
        <n x="142"/>
        <n x="20"/>
        <n x="2"/>
        <n x="5"/>
        <n x="22"/>
        <n x="59"/>
      </t>
    </mdx>
    <mdx n="0" f="v">
      <t c="4">
        <n x="1"/>
        <n x="64"/>
        <n x="142"/>
        <n x="2"/>
      </t>
    </mdx>
    <mdx n="0" f="v">
      <t c="7">
        <n x="1"/>
        <n x="66"/>
        <n x="142"/>
        <n x="25"/>
        <n x="2"/>
        <n x="18"/>
        <n x="59"/>
      </t>
    </mdx>
    <mdx n="0" f="v">
      <t c="7">
        <n x="1"/>
        <n x="69"/>
        <n x="142"/>
        <n x="25"/>
        <n x="2"/>
        <n x="18"/>
        <n x="59"/>
      </t>
    </mdx>
    <mdx n="0" f="v">
      <t c="7">
        <n x="1"/>
        <n x="70"/>
        <n x="142"/>
        <n x="25"/>
        <n x="2"/>
        <n x="18"/>
        <n x="59"/>
      </t>
    </mdx>
    <mdx n="0" f="v">
      <t c="7">
        <n x="1"/>
        <n x="71"/>
        <n x="142"/>
        <n x="25"/>
        <n x="2"/>
        <n x="18"/>
        <n x="59"/>
      </t>
    </mdx>
    <mdx n="0" f="v">
      <t c="7">
        <n x="1"/>
        <n x="63"/>
        <n x="142"/>
        <n x="20"/>
        <n x="2"/>
        <n x="18"/>
        <n x="59"/>
      </t>
    </mdx>
    <mdx n="0" f="v">
      <t c="7">
        <n x="1"/>
        <n x="62"/>
        <n x="142"/>
        <n x="20"/>
        <n x="2"/>
        <n x="18"/>
        <n x="59"/>
      </t>
    </mdx>
    <mdx n="0" f="v">
      <t c="7">
        <n x="1"/>
        <n x="42"/>
        <n x="142"/>
        <n x="36"/>
        <n x="2"/>
        <n x="18"/>
        <n x="59"/>
      </t>
    </mdx>
    <mdx n="0" f="v">
      <t c="7">
        <n x="1"/>
        <n x="31"/>
        <n x="142"/>
        <n x="32"/>
        <n x="2"/>
        <n x="18"/>
        <n x="59"/>
      </t>
    </mdx>
    <mdx n="0" f="v">
      <t c="7">
        <n x="1"/>
        <n x="43"/>
        <n x="142"/>
        <n x="25"/>
        <n x="2"/>
        <n x="18"/>
        <n x="59"/>
      </t>
    </mdx>
    <mdx n="0" f="v">
      <t c="7">
        <n x="1"/>
        <n x="33"/>
        <n x="142"/>
        <n x="25"/>
        <n x="2"/>
        <n x="18"/>
        <n x="59"/>
      </t>
    </mdx>
    <mdx n="0" f="v">
      <t c="7">
        <n x="1"/>
        <n x="27"/>
        <n x="142"/>
        <n x="20"/>
        <n x="2"/>
        <n x="3"/>
        <n x="60"/>
      </t>
    </mdx>
    <mdx n="0" f="v">
      <t c="7">
        <n x="1"/>
        <n x="68"/>
        <n x="142"/>
        <n x="25"/>
        <n x="2"/>
        <n x="18"/>
        <n x="59"/>
      </t>
    </mdx>
    <mdx n="0" f="v">
      <t c="8">
        <n x="1"/>
        <n x="19"/>
        <n x="142"/>
        <n x="20"/>
        <n x="2"/>
        <n x="5"/>
        <n x="22"/>
        <n x="59"/>
      </t>
    </mdx>
    <mdx n="0" f="v">
      <t c="8">
        <n x="1"/>
        <n x="61"/>
        <n x="142"/>
        <n x="20"/>
        <n x="2"/>
        <n x="5"/>
        <n x="21"/>
        <n x="59"/>
      </t>
    </mdx>
    <mdx n="0" f="v">
      <t c="7">
        <n x="1"/>
        <n x="68"/>
        <n x="79"/>
        <n x="25"/>
        <n x="2"/>
        <n x="18"/>
        <n x="59"/>
      </t>
    </mdx>
    <mdx n="0" f="v">
      <t c="7">
        <n x="1"/>
        <n x="26"/>
        <n x="78"/>
        <n x="25"/>
        <n x="2"/>
        <n x="18"/>
        <n x="59"/>
      </t>
    </mdx>
    <mdx n="0" f="v">
      <t c="7">
        <n x="1"/>
        <n x="68"/>
        <n x="78"/>
        <n x="25"/>
        <n x="2"/>
        <n x="18"/>
        <n x="59"/>
      </t>
    </mdx>
    <mdx n="0" f="v">
      <t c="7">
        <n x="1"/>
        <n x="27"/>
        <n x="79"/>
        <n x="20"/>
        <n x="2"/>
        <n x="3"/>
        <n x="60"/>
      </t>
    </mdx>
    <mdx n="0" f="v">
      <t c="7">
        <n x="1"/>
        <n x="44"/>
        <n x="79"/>
        <n x="41"/>
        <n x="2"/>
        <n x="5"/>
        <n x="59"/>
      </t>
    </mdx>
    <mdx n="0" f="v">
      <t c="7">
        <n x="1"/>
        <n x="42"/>
        <n x="79"/>
        <n x="36"/>
        <n x="2"/>
        <n x="18"/>
        <n x="59"/>
      </t>
    </mdx>
    <mdx n="0" f="v">
      <t c="7">
        <n x="1"/>
        <n x="24"/>
        <n x="78"/>
        <n x="25"/>
        <n x="2"/>
        <n x="18"/>
        <n x="59"/>
      </t>
    </mdx>
    <mdx n="0" f="v">
      <t c="8">
        <n x="1"/>
        <n x="61"/>
        <n x="78"/>
        <n x="20"/>
        <n x="2"/>
        <n x="5"/>
        <n x="22"/>
        <n x="59"/>
      </t>
    </mdx>
    <mdx n="0" f="v">
      <t c="4">
        <n x="11"/>
        <n x="8"/>
        <n x="2"/>
        <n x="149"/>
      </t>
    </mdx>
    <mdx n="0" f="v">
      <t c="4">
        <n x="11"/>
        <n x="7"/>
        <n x="2"/>
        <n x="149"/>
      </t>
    </mdx>
    <mdx n="0" f="v">
      <t c="6">
        <n x="11"/>
        <n x="149"/>
        <n x="12"/>
        <n x="14"/>
        <n x="2"/>
        <n x="15"/>
      </t>
    </mdx>
    <mdx n="80" f="v">
      <t c="3">
        <n x="81"/>
        <n x="143"/>
        <n x="91"/>
      </t>
    </mdx>
    <mdx n="80" f="v">
      <t c="4">
        <n x="81"/>
        <n x="150"/>
        <n x="120"/>
        <n x="83"/>
      </t>
    </mdx>
    <mdx n="0" f="v">
      <t c="5">
        <n x="1"/>
        <n x="149"/>
        <n x="51"/>
        <n x="2"/>
        <n x="55"/>
      </t>
    </mdx>
    <mdx n="0" f="v">
      <t c="8">
        <n x="1"/>
        <n x="19"/>
        <n x="149"/>
        <n x="20"/>
        <n x="2"/>
        <n x="5"/>
        <n x="22"/>
        <n x="59"/>
      </t>
    </mdx>
    <mdx n="0" f="v">
      <t c="7">
        <n x="1"/>
        <n x="40"/>
        <n x="149"/>
        <n x="41"/>
        <n x="2"/>
        <n x="5"/>
        <n x="59"/>
      </t>
    </mdx>
    <mdx n="0" f="v">
      <t c="7">
        <n x="1"/>
        <n x="47"/>
        <n x="149"/>
        <n x="37"/>
        <n x="2"/>
        <n x="18"/>
        <n x="59"/>
      </t>
    </mdx>
    <mdx n="0" f="v">
      <t c="7">
        <n x="1"/>
        <n x="43"/>
        <n x="149"/>
        <n x="25"/>
        <n x="2"/>
        <n x="18"/>
        <n x="59"/>
      </t>
    </mdx>
    <mdx n="0" f="v">
      <t c="7">
        <n x="1"/>
        <n x="39"/>
        <n x="149"/>
        <n x="37"/>
        <n x="2"/>
        <n x="18"/>
        <n x="59"/>
      </t>
    </mdx>
    <mdx n="0" f="v">
      <t c="7">
        <n x="1"/>
        <n x="42"/>
        <n x="149"/>
        <n x="36"/>
        <n x="2"/>
        <n x="18"/>
        <n x="59"/>
      </t>
    </mdx>
    <mdx n="0" f="v">
      <t c="7">
        <n x="1"/>
        <n x="26"/>
        <n x="149"/>
        <n x="25"/>
        <n x="2"/>
        <n x="18"/>
        <n x="59"/>
      </t>
    </mdx>
    <mdx n="0" f="v">
      <t c="7">
        <n x="1"/>
        <n x="28"/>
        <n x="149"/>
        <n x="29"/>
        <n x="2"/>
        <n x="18"/>
        <n x="59"/>
      </t>
    </mdx>
    <mdx n="0" f="v">
      <t c="7">
        <n x="1"/>
        <n x="24"/>
        <n x="149"/>
        <n x="25"/>
        <n x="2"/>
        <n x="18"/>
        <n x="59"/>
      </t>
    </mdx>
    <mdx n="0" f="v">
      <t c="8">
        <n x="1"/>
        <n x="23"/>
        <n x="149"/>
        <n x="20"/>
        <n x="2"/>
        <n x="5"/>
        <n x="21"/>
        <n x="59"/>
      </t>
    </mdx>
    <mdx n="0" f="v">
      <t c="8">
        <n x="1"/>
        <n x="23"/>
        <n x="149"/>
        <n x="20"/>
        <n x="2"/>
        <n x="5"/>
        <n x="22"/>
        <n x="59"/>
      </t>
    </mdx>
    <mdx n="0" f="v">
      <t c="8">
        <n x="1"/>
        <n x="19"/>
        <n x="149"/>
        <n x="20"/>
        <n x="2"/>
        <n x="5"/>
        <n x="21"/>
        <n x="59"/>
      </t>
    </mdx>
    <mdx n="0" f="v">
      <t c="8">
        <n x="1"/>
        <n x="61"/>
        <n x="149"/>
        <n x="20"/>
        <n x="2"/>
        <n x="5"/>
        <n x="21"/>
        <n x="59"/>
      </t>
    </mdx>
    <mdx n="0" f="v">
      <t c="8">
        <n x="1"/>
        <n x="61"/>
        <n x="149"/>
        <n x="20"/>
        <n x="2"/>
        <n x="5"/>
        <n x="22"/>
        <n x="59"/>
      </t>
    </mdx>
    <mdx n="0" f="v">
      <t c="7">
        <n x="1"/>
        <n x="33"/>
        <n x="149"/>
        <n x="25"/>
        <n x="2"/>
        <n x="18"/>
        <n x="59"/>
      </t>
    </mdx>
    <mdx n="0" f="v">
      <t c="7">
        <n x="1"/>
        <n x="66"/>
        <n x="149"/>
        <n x="25"/>
        <n x="2"/>
        <n x="18"/>
        <n x="59"/>
      </t>
    </mdx>
    <mdx n="0" f="v">
      <t c="7">
        <n x="1"/>
        <n x="65"/>
        <n x="149"/>
        <n x="25"/>
        <n x="2"/>
        <n x="18"/>
        <n x="59"/>
      </t>
    </mdx>
    <mdx n="0" f="v">
      <t c="7">
        <n x="1"/>
        <n x="63"/>
        <n x="149"/>
        <n x="20"/>
        <n x="2"/>
        <n x="18"/>
        <n x="59"/>
      </t>
    </mdx>
    <mdx n="0" f="v">
      <t c="4">
        <n x="1"/>
        <n x="64"/>
        <n x="149"/>
        <n x="2"/>
      </t>
    </mdx>
    <mdx n="0" f="v">
      <t c="7">
        <n x="1"/>
        <n x="69"/>
        <n x="149"/>
        <n x="25"/>
        <n x="2"/>
        <n x="18"/>
        <n x="59"/>
      </t>
    </mdx>
    <mdx n="0" f="v">
      <t c="7">
        <n x="1"/>
        <n x="70"/>
        <n x="149"/>
        <n x="25"/>
        <n x="2"/>
        <n x="18"/>
        <n x="59"/>
      </t>
    </mdx>
    <mdx n="0" f="v">
      <t c="7">
        <n x="1"/>
        <n x="71"/>
        <n x="149"/>
        <n x="25"/>
        <n x="2"/>
        <n x="18"/>
        <n x="59"/>
      </t>
    </mdx>
    <mdx n="0" f="v">
      <t c="7">
        <n x="1"/>
        <n x="62"/>
        <n x="149"/>
        <n x="20"/>
        <n x="2"/>
        <n x="18"/>
        <n x="59"/>
      </t>
    </mdx>
    <mdx n="80" f="v">
      <t c="5">
        <n x="81"/>
        <n x="143"/>
        <n x="120"/>
        <n x="83"/>
        <n x="123"/>
      </t>
    </mdx>
    <mdx n="80" f="v">
      <t c="5">
        <n x="81"/>
        <n x="143"/>
        <n x="128" s="1"/>
        <n x="83"/>
        <n x="119"/>
      </t>
    </mdx>
    <mdx n="80" f="v">
      <t c="5">
        <n x="81"/>
        <n x="143"/>
        <n x="83"/>
        <n x="132"/>
        <n x="119"/>
      </t>
    </mdx>
    <mdx n="0" f="v">
      <t c="7">
        <n x="1"/>
        <n x="77"/>
        <n x="149"/>
        <n x="32"/>
        <n x="2"/>
        <n x="18"/>
        <n x="59"/>
      </t>
    </mdx>
    <mdx n="0" f="v">
      <t c="7">
        <n x="1"/>
        <n x="48"/>
        <n x="149"/>
        <n x="49"/>
        <n x="2"/>
        <n x="5"/>
        <n x="59"/>
      </t>
    </mdx>
    <mdx n="0" f="v">
      <t c="7">
        <n x="1"/>
        <n x="34"/>
        <n x="149"/>
        <n x="37"/>
        <n x="2"/>
        <n x="18"/>
        <n x="59"/>
      </t>
    </mdx>
    <mdx n="0" f="v">
      <t c="7">
        <n x="1"/>
        <n x="35"/>
        <n x="149"/>
        <n x="36"/>
        <n x="2"/>
        <n x="18"/>
        <n x="59"/>
      </t>
    </mdx>
    <mdx n="0" f="v">
      <t c="7">
        <n x="1"/>
        <n x="46"/>
        <n x="149"/>
        <n x="32"/>
        <n x="2"/>
        <n x="18"/>
        <n x="59"/>
      </t>
    </mdx>
    <mdx n="80" f="v">
      <t c="4">
        <n x="81"/>
        <n x="150"/>
        <n x="83"/>
        <n x="83"/>
      </t>
    </mdx>
    <mdx n="0" f="v">
      <t c="7">
        <n x="1"/>
        <n x="68"/>
        <n x="149"/>
        <n x="25"/>
        <n x="2"/>
        <n x="18"/>
        <n x="59"/>
      </t>
    </mdx>
    <mdx n="80" f="v">
      <t c="4">
        <n x="81"/>
        <n x="150"/>
        <n x="83"/>
        <n x="111" s="1"/>
      </t>
    </mdx>
    <mdx n="0" f="v">
      <t c="10">
        <n x="1"/>
        <n x="149"/>
        <n x="10"/>
        <n x="3"/>
        <n x="4"/>
        <n x="12"/>
        <n x="2"/>
        <n x="6"/>
        <n x="17"/>
        <n x="53"/>
      </t>
    </mdx>
    <mdx n="0" f="v">
      <t c="5">
        <n x="2"/>
        <n x="79"/>
        <n x="50"/>
        <n x="1"/>
        <n x="5"/>
      </t>
    </mdx>
    <mdx n="0" f="v">
      <t c="5">
        <n x="2"/>
        <n x="149"/>
        <n x="50"/>
        <n x="1"/>
        <n x="5"/>
      </t>
    </mdx>
    <mdx n="0" f="v">
      <t c="7">
        <n x="1"/>
        <n x="44"/>
        <n x="149"/>
        <n x="41"/>
        <n x="2"/>
        <n x="5"/>
        <n x="59"/>
      </t>
    </mdx>
    <mdx n="0" f="v">
      <t c="7">
        <n x="1"/>
        <n x="27"/>
        <n x="149"/>
        <n x="20"/>
        <n x="2"/>
        <n x="3"/>
        <n x="60"/>
      </t>
    </mdx>
    <mdx n="0" f="v">
      <t c="5">
        <n x="2"/>
        <n x="142"/>
        <n x="50"/>
        <n x="1"/>
        <n x="5"/>
      </t>
    </mdx>
    <mdx n="0" f="v">
      <t c="4">
        <n x="11"/>
        <n x="7"/>
        <n x="2"/>
        <n x="142"/>
      </t>
    </mdx>
    <mdx n="0" f="v">
      <t c="6">
        <n x="11"/>
        <n x="142"/>
        <n x="12"/>
        <n x="14"/>
        <n x="2"/>
        <n x="13"/>
      </t>
    </mdx>
    <mdx n="80" f="v">
      <t c="5">
        <n x="81"/>
        <n x="150"/>
        <n x="83"/>
        <n x="89"/>
        <n x="102"/>
      </t>
    </mdx>
    <mdx n="80" f="v">
      <t c="5">
        <n x="81"/>
        <n x="151" s="1"/>
        <n x="109"/>
        <n x="114"/>
        <n x="119"/>
      </t>
    </mdx>
    <mdx n="80" f="v">
      <t c="5" si="124">
        <n x="81"/>
        <n x="150"/>
        <n x="114"/>
        <n x="158"/>
        <n x="112"/>
      </t>
    </mdx>
    <mdx n="80" f="v">
      <t c="4">
        <n x="81"/>
        <n x="150"/>
        <n x="83"/>
        <n x="85"/>
      </t>
    </mdx>
    <mdx n="80" f="v">
      <t c="4">
        <n x="81"/>
        <n x="150"/>
        <n x="91"/>
        <n x="114"/>
      </t>
    </mdx>
    <mdx n="80" f="v">
      <t c="4">
        <n x="81"/>
        <n x="150"/>
        <n x="84"/>
        <n x="88"/>
      </t>
    </mdx>
    <mdx n="80" f="v">
      <t c="4">
        <n x="81"/>
        <n x="150"/>
        <n x="84"/>
        <n x="111" s="1"/>
      </t>
    </mdx>
    <mdx n="80" f="v">
      <t c="4">
        <n x="81"/>
        <n x="150"/>
        <n x="114"/>
        <n x="159"/>
      </t>
    </mdx>
    <mdx n="80" f="v">
      <t c="4">
        <n x="81"/>
        <n x="150"/>
        <n x="101"/>
        <n x="140"/>
      </t>
    </mdx>
    <mdx n="80" f="v">
      <t c="4">
        <n x="81"/>
        <n x="150"/>
        <n x="91"/>
        <n x="89"/>
      </t>
    </mdx>
    <mdx n="80" f="v">
      <t c="4">
        <n x="81"/>
        <n x="150"/>
        <n x="91"/>
        <n x="112"/>
      </t>
    </mdx>
    <mdx n="80" f="v">
      <t c="4">
        <n x="81"/>
        <n x="150"/>
        <n x="101"/>
        <n x="131"/>
      </t>
    </mdx>
    <mdx n="0" f="v">
      <t c="6">
        <n x="5"/>
        <n x="164"/>
        <n x="1"/>
        <n x="2"/>
        <n x="72"/>
        <n x="73"/>
      </t>
    </mdx>
    <mdx n="0" f="v">
      <t c="6">
        <n x="75"/>
        <n x="164"/>
        <n x="76"/>
        <n x="2"/>
        <n x="72"/>
        <n x="74"/>
      </t>
    </mdx>
    <mdx n="0" f="v">
      <t c="5">
        <n x="1"/>
        <n x="164"/>
        <n x="51"/>
        <n x="2"/>
        <n x="54"/>
      </t>
    </mdx>
    <mdx n="0" f="v">
      <t c="5">
        <n x="1"/>
        <n x="164"/>
        <n x="51"/>
        <n x="2"/>
        <n x="56"/>
      </t>
    </mdx>
    <mdx n="0" f="v">
      <t c="6">
        <n x="11"/>
        <n x="149"/>
        <n x="12"/>
        <n x="16"/>
        <n x="2"/>
        <n x="13"/>
      </t>
    </mdx>
    <mdx n="0" f="v">
      <t c="6">
        <n x="11"/>
        <n x="79"/>
        <n x="12"/>
        <n x="16"/>
        <n x="2"/>
        <n x="15"/>
      </t>
    </mdx>
    <mdx n="0" f="v">
      <t c="6">
        <n x="11"/>
        <n x="79"/>
        <n x="12"/>
        <n x="14"/>
        <n x="2"/>
        <n x="13"/>
      </t>
    </mdx>
    <mdx n="0" f="v">
      <t c="4">
        <n x="11"/>
        <n x="8"/>
        <n x="2"/>
        <n x="164"/>
      </t>
    </mdx>
    <mdx n="0" f="v">
      <t c="4">
        <n x="11"/>
        <n x="7"/>
        <n x="2"/>
        <n x="164"/>
      </t>
    </mdx>
    <mdx n="0" f="v">
      <t c="6">
        <n x="11"/>
        <n x="164"/>
        <n x="12"/>
        <n x="16"/>
        <n x="2"/>
        <n x="15"/>
      </t>
    </mdx>
    <mdx n="0" f="v">
      <t c="6">
        <n x="11"/>
        <n x="164"/>
        <n x="12"/>
        <n x="14"/>
        <n x="2"/>
        <n x="15"/>
      </t>
    </mdx>
    <mdx n="0" f="v">
      <t c="6">
        <n x="11"/>
        <n x="164"/>
        <n x="12"/>
        <n x="16"/>
        <n x="2"/>
        <n x="13"/>
      </t>
    </mdx>
    <mdx n="0" f="v">
      <t c="6">
        <n x="11"/>
        <n x="164"/>
        <n x="12"/>
        <n x="14"/>
        <n x="2"/>
        <n x="13"/>
      </t>
    </mdx>
    <mdx n="80" f="v">
      <t c="4">
        <n x="81"/>
        <n x="150"/>
        <n x="91"/>
        <n x="131"/>
      </t>
    </mdx>
    <mdx n="0" f="v">
      <t c="6">
        <n x="75"/>
        <n x="149"/>
        <n x="76"/>
        <n x="2"/>
        <n x="72"/>
        <n x="73"/>
      </t>
    </mdx>
    <mdx n="0" f="v">
      <t c="6">
        <n x="75"/>
        <n x="149"/>
        <n x="76"/>
        <n x="2"/>
        <n x="72"/>
        <n x="74"/>
      </t>
    </mdx>
    <mdx n="0" f="v">
      <t c="6">
        <n x="11"/>
        <n x="149"/>
        <n x="12"/>
        <n x="16"/>
        <n x="2"/>
        <n x="15"/>
      </t>
    </mdx>
    <mdx n="0" f="v">
      <t c="6">
        <n x="11"/>
        <n x="149"/>
        <n x="12"/>
        <n x="14"/>
        <n x="2"/>
        <n x="13"/>
      </t>
    </mdx>
    <mdx n="0" f="v">
      <t c="10">
        <n x="1"/>
        <n x="149"/>
        <n x="10"/>
        <n x="3"/>
        <n x="4"/>
        <n x="12"/>
        <n x="2"/>
        <n x="6"/>
        <n x="17"/>
        <n x="52"/>
      </t>
    </mdx>
    <mdx n="0" f="v">
      <t c="5">
        <n x="1"/>
        <n x="149"/>
        <n x="51"/>
        <n x="2"/>
        <n x="56"/>
      </t>
    </mdx>
    <mdx n="80" f="v">
      <t c="3">
        <n x="81"/>
        <n x="151" s="1"/>
        <n x="109"/>
      </t>
    </mdx>
    <mdx n="97" f="v">
      <t c="3" si="107">
        <n x="119"/>
        <n x="87"/>
        <n x="153"/>
      </t>
    </mdx>
    <mdx n="80" f="v">
      <t c="5">
        <n x="81"/>
        <n x="150"/>
        <n x="120"/>
        <n x="83"/>
        <n x="155" s="1"/>
      </t>
    </mdx>
    <mdx n="80" f="v">
      <t c="5">
        <n x="81"/>
        <n x="150"/>
        <n x="120"/>
        <n x="83"/>
        <n x="111" s="1"/>
      </t>
    </mdx>
    <mdx n="80" f="v">
      <t c="5">
        <n x="81"/>
        <n x="150"/>
        <n x="128" s="1"/>
        <n x="83"/>
        <n x="111" s="1"/>
      </t>
    </mdx>
    <mdx n="80" f="v">
      <t c="5">
        <n x="81"/>
        <n x="150"/>
        <n x="128" s="1"/>
        <n x="83"/>
        <n x="102"/>
      </t>
    </mdx>
    <mdx n="80" f="v">
      <t c="5">
        <n x="81"/>
        <n x="150"/>
        <n x="120"/>
        <n x="83"/>
        <n x="132"/>
      </t>
    </mdx>
    <mdx n="80" f="v">
      <t c="5">
        <n x="81"/>
        <n x="150"/>
        <n x="104"/>
        <n x="83"/>
        <n x="92"/>
      </t>
    </mdx>
    <mdx n="80" f="v">
      <t c="5">
        <n x="81"/>
        <n x="150"/>
        <n x="83"/>
        <n x="114"/>
        <n x="157"/>
      </t>
    </mdx>
    <mdx n="80" f="v">
      <t c="5">
        <n x="81"/>
        <n x="150"/>
        <n x="128" s="1"/>
        <n x="83"/>
        <n x="123"/>
      </t>
    </mdx>
    <mdx n="80" f="v">
      <t c="5" si="124">
        <n x="81"/>
        <n x="150"/>
        <n x="122"/>
        <n x="122"/>
        <n x="92"/>
      </t>
    </mdx>
    <mdx n="80" f="v">
      <t c="5" si="124">
        <n x="81"/>
        <n x="150"/>
        <n x="120"/>
        <n x="83"/>
        <n x="86"/>
      </t>
    </mdx>
    <mdx n="80" f="v">
      <t c="5" si="124">
        <n x="81"/>
        <n x="150"/>
        <n x="116" s="1"/>
        <n x="114"/>
        <n x="154" s="1"/>
      </t>
    </mdx>
    <mdx n="80" f="v">
      <t c="5" si="124">
        <n x="81"/>
        <n x="150"/>
        <n x="83"/>
        <n x="117"/>
        <n x="130"/>
      </t>
    </mdx>
    <mdx n="80" f="v">
      <t c="5" si="124">
        <n x="81"/>
        <n x="150"/>
        <n x="101"/>
        <n x="131"/>
        <n x="130"/>
      </t>
    </mdx>
    <mdx n="80" f="v">
      <t c="5" si="124">
        <n x="81"/>
        <n x="150"/>
        <n x="122"/>
        <n x="127" s="1"/>
        <n x="127" s="1"/>
      </t>
    </mdx>
    <mdx n="97" f="v">
      <t c="4" si="107">
        <n x="133"/>
        <n x="87"/>
        <n x="153"/>
        <n x="153"/>
      </t>
    </mdx>
    <mdx n="80" f="v">
      <t c="4">
        <n x="81"/>
        <n x="150"/>
        <n x="120"/>
        <n x="86"/>
      </t>
    </mdx>
    <mdx n="80" f="v">
      <t c="4">
        <n x="81"/>
        <n x="150"/>
        <n x="156"/>
        <n x="90" s="1"/>
      </t>
    </mdx>
    <mdx n="80" f="v">
      <t c="4">
        <n x="81"/>
        <n x="150"/>
        <n x="160"/>
        <n x="92"/>
      </t>
    </mdx>
    <mdx n="80" f="v">
      <t c="4">
        <n x="81"/>
        <n x="150"/>
        <n x="101"/>
        <n x="94"/>
      </t>
    </mdx>
    <mdx n="80" f="v">
      <t c="4">
        <n x="81"/>
        <n x="150"/>
        <n x="91"/>
        <n x="117"/>
      </t>
    </mdx>
    <mdx n="103" f="v">
      <t c="4">
        <n x="170"/>
        <n x="134"/>
        <n x="169"/>
        <n x="161"/>
      </t>
    </mdx>
    <mdx n="103" f="v">
      <t c="4" si="106">
        <n x="170"/>
        <n x="134"/>
        <n x="113"/>
        <n x="152"/>
      </t>
    </mdx>
    <mdx n="80" f="v">
      <t c="4">
        <n x="81"/>
        <n x="150"/>
        <n x="116" s="1"/>
        <n x="147"/>
      </t>
    </mdx>
    <mdx n="80" f="v">
      <t c="4">
        <n x="81"/>
        <n x="150"/>
        <n x="128" s="1"/>
        <n x="83"/>
      </t>
    </mdx>
    <mdx n="80" f="v">
      <t c="4">
        <n x="81"/>
        <n x="150"/>
        <n x="91"/>
        <n x="98"/>
      </t>
    </mdx>
    <mdx n="80" f="v">
      <t c="4">
        <n x="81"/>
        <n x="150"/>
        <n x="91"/>
        <n x="130"/>
      </t>
    </mdx>
    <mdx n="80" f="v">
      <t c="4">
        <n x="81"/>
        <n x="150"/>
        <n x="114"/>
        <n x="102"/>
      </t>
    </mdx>
    <mdx n="80" f="v">
      <t c="4">
        <n x="81"/>
        <n x="150"/>
        <n x="83"/>
        <n x="162"/>
      </t>
    </mdx>
    <mdx n="80" f="v">
      <t c="4">
        <n x="81"/>
        <n x="150"/>
        <n x="114"/>
        <n x="163"/>
      </t>
    </mdx>
    <mdx n="80" f="v">
      <t c="4">
        <n x="81"/>
        <n x="150"/>
        <n x="91"/>
        <n x="123"/>
      </t>
    </mdx>
    <mdx n="80" f="v">
      <t c="4">
        <n x="81"/>
        <n x="150"/>
        <n x="83"/>
        <n x="112"/>
      </t>
    </mdx>
    <mdx n="80" f="v">
      <t c="4">
        <n x="81"/>
        <n x="150"/>
        <n x="104"/>
        <n x="114"/>
      </t>
    </mdx>
    <mdx n="0" f="v">
      <t c="6">
        <n x="5"/>
        <n x="164"/>
        <n x="1"/>
        <n x="2"/>
        <n x="72"/>
        <n x="74"/>
      </t>
    </mdx>
    <mdx n="0" f="v">
      <t c="6">
        <n x="75"/>
        <n x="164"/>
        <n x="76"/>
        <n x="2"/>
        <n x="72"/>
        <n x="73"/>
      </t>
    </mdx>
    <mdx n="0" f="v">
      <t c="4">
        <n x="11"/>
        <n x="8"/>
        <n x="2"/>
        <n x="78"/>
      </t>
    </mdx>
    <mdx n="0" f="v">
      <t c="4">
        <n x="11"/>
        <n x="7"/>
        <n x="2"/>
        <n x="78"/>
      </t>
    </mdx>
    <mdx n="0" f="v">
      <t c="6">
        <n x="11"/>
        <n x="78"/>
        <n x="12"/>
        <n x="14"/>
        <n x="2"/>
        <n x="13"/>
      </t>
    </mdx>
    <mdx n="0" f="v">
      <t c="10">
        <n x="1"/>
        <n x="142"/>
        <n x="10"/>
        <n x="3"/>
        <n x="4"/>
        <n x="12"/>
        <n x="2"/>
        <n x="6"/>
        <n x="17"/>
        <n x="52"/>
      </t>
    </mdx>
    <mdx n="0" f="v">
      <t c="5">
        <n x="1"/>
        <n x="142"/>
        <n x="51"/>
        <n x="2"/>
        <n x="54"/>
      </t>
    </mdx>
    <mdx n="0" f="v">
      <t c="5">
        <n x="1"/>
        <n x="142"/>
        <n x="51"/>
        <n x="2"/>
        <n x="55"/>
      </t>
    </mdx>
    <mdx n="0" f="v">
      <t c="10">
        <n x="1"/>
        <n x="164"/>
        <n x="10"/>
        <n x="3"/>
        <n x="4"/>
        <n x="12"/>
        <n x="2"/>
        <n x="6"/>
        <n x="17"/>
        <n x="52"/>
      </t>
    </mdx>
    <mdx n="0" f="v">
      <t c="10">
        <n x="1"/>
        <n x="164"/>
        <n x="10"/>
        <n x="3"/>
        <n x="4"/>
        <n x="12"/>
        <n x="2"/>
        <n x="6"/>
        <n x="17"/>
        <n x="53"/>
      </t>
    </mdx>
    <mdx n="0" f="v">
      <t c="5">
        <n x="1"/>
        <n x="164"/>
        <n x="51"/>
        <n x="2"/>
        <n x="55"/>
      </t>
    </mdx>
    <mdx n="0" f="v">
      <t c="7">
        <n x="1"/>
        <n x="40"/>
        <n x="164"/>
        <n x="41"/>
        <n x="2"/>
        <n x="5"/>
        <n x="59"/>
      </t>
    </mdx>
    <mdx n="0" f="v">
      <t c="7">
        <n x="1"/>
        <n x="44"/>
        <n x="164"/>
        <n x="41"/>
        <n x="2"/>
        <n x="5"/>
        <n x="59"/>
      </t>
    </mdx>
    <mdx n="0" f="v">
      <t c="7">
        <n x="1"/>
        <n x="39"/>
        <n x="164"/>
        <n x="37"/>
        <n x="2"/>
        <n x="18"/>
        <n x="59"/>
      </t>
    </mdx>
    <mdx n="0" f="v">
      <t c="7">
        <n x="1"/>
        <n x="47"/>
        <n x="164"/>
        <n x="37"/>
        <n x="2"/>
        <n x="18"/>
        <n x="59"/>
      </t>
    </mdx>
    <mdx n="0" f="v">
      <t c="7">
        <n x="1"/>
        <n x="34"/>
        <n x="164"/>
        <n x="37"/>
        <n x="2"/>
        <n x="18"/>
        <n x="59"/>
      </t>
    </mdx>
    <mdx n="0" f="v">
      <t c="7">
        <n x="1"/>
        <n x="42"/>
        <n x="164"/>
        <n x="36"/>
        <n x="2"/>
        <n x="18"/>
        <n x="59"/>
      </t>
    </mdx>
    <mdx n="0" f="v">
      <t c="7">
        <n x="1"/>
        <n x="35"/>
        <n x="164"/>
        <n x="36"/>
        <n x="2"/>
        <n x="18"/>
        <n x="59"/>
      </t>
    </mdx>
    <mdx n="0" f="v">
      <t c="7">
        <n x="1"/>
        <n x="46"/>
        <n x="164"/>
        <n x="32"/>
        <n x="2"/>
        <n x="18"/>
        <n x="59"/>
      </t>
    </mdx>
    <mdx n="0" f="v">
      <t c="7">
        <n x="1"/>
        <n x="77"/>
        <n x="164"/>
        <n x="32"/>
        <n x="2"/>
        <n x="18"/>
        <n x="59"/>
      </t>
    </mdx>
    <mdx n="0" f="v">
      <t c="7">
        <n x="1"/>
        <n x="43"/>
        <n x="164"/>
        <n x="25"/>
        <n x="2"/>
        <n x="18"/>
        <n x="59"/>
      </t>
    </mdx>
    <mdx n="0" f="v">
      <t c="7">
        <n x="1"/>
        <n x="48"/>
        <n x="164"/>
        <n x="49"/>
        <n x="2"/>
        <n x="5"/>
        <n x="59"/>
      </t>
    </mdx>
    <mdx n="0" f="v">
      <t c="7">
        <n x="1"/>
        <n x="33"/>
        <n x="164"/>
        <n x="25"/>
        <n x="2"/>
        <n x="18"/>
        <n x="59"/>
      </t>
    </mdx>
    <mdx n="0" f="v">
      <t c="8">
        <n x="1"/>
        <n x="61"/>
        <n x="164"/>
        <n x="20"/>
        <n x="2"/>
        <n x="5"/>
        <n x="22"/>
        <n x="59"/>
      </t>
    </mdx>
    <mdx n="0" f="v">
      <t c="7">
        <n x="1"/>
        <n x="27"/>
        <n x="164"/>
        <n x="20"/>
        <n x="2"/>
        <n x="3"/>
        <n x="60"/>
      </t>
    </mdx>
    <mdx n="0" f="v">
      <t c="7">
        <n x="1"/>
        <n x="26"/>
        <n x="164"/>
        <n x="25"/>
        <n x="2"/>
        <n x="18"/>
        <n x="59"/>
      </t>
    </mdx>
    <mdx n="0" f="v">
      <t c="7">
        <n x="1"/>
        <n x="28"/>
        <n x="164"/>
        <n x="29"/>
        <n x="2"/>
        <n x="18"/>
        <n x="59"/>
      </t>
    </mdx>
    <mdx n="0" f="v">
      <t c="7">
        <n x="1"/>
        <n x="24"/>
        <n x="164"/>
        <n x="25"/>
        <n x="2"/>
        <n x="18"/>
        <n x="59"/>
      </t>
    </mdx>
    <mdx n="0" f="v">
      <t c="8">
        <n x="1"/>
        <n x="23"/>
        <n x="164"/>
        <n x="20"/>
        <n x="2"/>
        <n x="5"/>
        <n x="21"/>
        <n x="59"/>
      </t>
    </mdx>
    <mdx n="0" f="v">
      <t c="8">
        <n x="1"/>
        <n x="23"/>
        <n x="164"/>
        <n x="20"/>
        <n x="2"/>
        <n x="5"/>
        <n x="22"/>
        <n x="59"/>
      </t>
    </mdx>
    <mdx n="0" f="v">
      <t c="8">
        <n x="1"/>
        <n x="19"/>
        <n x="164"/>
        <n x="20"/>
        <n x="2"/>
        <n x="5"/>
        <n x="21"/>
        <n x="59"/>
      </t>
    </mdx>
    <mdx n="0" f="v">
      <t c="8">
        <n x="1"/>
        <n x="19"/>
        <n x="164"/>
        <n x="20"/>
        <n x="2"/>
        <n x="5"/>
        <n x="22"/>
        <n x="59"/>
      </t>
    </mdx>
    <mdx n="0" f="v">
      <t c="8">
        <n x="1"/>
        <n x="61"/>
        <n x="164"/>
        <n x="20"/>
        <n x="2"/>
        <n x="5"/>
        <n x="21"/>
        <n x="59"/>
      </t>
    </mdx>
    <mdx n="0" f="v">
      <t c="4">
        <n x="1"/>
        <n x="64"/>
        <n x="164"/>
        <n x="2"/>
      </t>
    </mdx>
    <mdx n="0" f="v">
      <t c="7">
        <n x="1"/>
        <n x="65"/>
        <n x="164"/>
        <n x="25"/>
        <n x="2"/>
        <n x="18"/>
        <n x="59"/>
      </t>
    </mdx>
    <mdx n="0" f="v">
      <t c="7">
        <n x="1"/>
        <n x="66"/>
        <n x="164"/>
        <n x="25"/>
        <n x="2"/>
        <n x="18"/>
        <n x="59"/>
      </t>
    </mdx>
    <mdx n="0" f="v">
      <t c="7">
        <n x="1"/>
        <n x="69"/>
        <n x="164"/>
        <n x="25"/>
        <n x="2"/>
        <n x="18"/>
        <n x="59"/>
      </t>
    </mdx>
    <mdx n="0" f="v">
      <t c="7">
        <n x="1"/>
        <n x="68"/>
        <n x="164"/>
        <n x="25"/>
        <n x="2"/>
        <n x="18"/>
        <n x="59"/>
      </t>
    </mdx>
    <mdx n="0" f="v">
      <t c="7">
        <n x="1"/>
        <n x="70"/>
        <n x="164"/>
        <n x="25"/>
        <n x="2"/>
        <n x="18"/>
        <n x="59"/>
      </t>
    </mdx>
    <mdx n="0" f="v">
      <t c="7">
        <n x="1"/>
        <n x="71"/>
        <n x="164"/>
        <n x="25"/>
        <n x="2"/>
        <n x="18"/>
        <n x="59"/>
      </t>
    </mdx>
    <mdx n="0" f="v">
      <t c="7">
        <n x="1"/>
        <n x="63"/>
        <n x="164"/>
        <n x="20"/>
        <n x="2"/>
        <n x="18"/>
        <n x="59"/>
      </t>
    </mdx>
    <mdx n="0" f="v">
      <t c="7">
        <n x="1"/>
        <n x="62"/>
        <n x="164"/>
        <n x="20"/>
        <n x="2"/>
        <n x="18"/>
        <n x="59"/>
      </t>
    </mdx>
    <mdx n="0" f="v">
      <t c="7">
        <n x="1"/>
        <n x="38"/>
        <n x="164"/>
        <n x="25"/>
        <n x="2"/>
        <n x="18"/>
        <n x="59"/>
      </t>
    </mdx>
    <mdx n="0" f="v">
      <t c="7">
        <n x="1"/>
        <n x="30"/>
        <n x="164"/>
        <n x="20"/>
        <n x="2"/>
        <n x="18"/>
        <n x="59"/>
      </t>
    </mdx>
    <mdx n="0" f="v">
      <t c="7">
        <n x="1"/>
        <n x="45"/>
        <n x="164"/>
        <n x="20"/>
        <n x="2"/>
        <n x="18"/>
        <n x="59"/>
      </t>
    </mdx>
    <mdx n="80" f="v">
      <t c="4">
        <n x="81"/>
        <n x="143"/>
        <n x="91"/>
        <n x="92"/>
      </t>
    </mdx>
    <mdx n="80" f="v">
      <t c="4">
        <n x="81"/>
        <n x="143"/>
        <n x="83"/>
        <n x="132"/>
      </t>
    </mdx>
    <mdx n="97" f="v">
      <t c="3" si="107">
        <n x="133"/>
        <n x="87"/>
        <n x="145"/>
      </t>
    </mdx>
    <mdx n="80" f="v">
      <t c="5">
        <n x="81"/>
        <n x="143"/>
        <n x="91"/>
        <n x="173" s="1"/>
        <n x="85"/>
      </t>
    </mdx>
    <mdx n="80" f="v">
      <t c="5">
        <n x="81"/>
        <n x="143"/>
        <n x="91"/>
        <n x="111" s="1"/>
        <n x="86"/>
      </t>
    </mdx>
    <mdx n="80" f="v">
      <t c="5">
        <n x="81"/>
        <n x="143"/>
        <n x="91"/>
        <n x="112"/>
        <n x="111" s="1"/>
      </t>
    </mdx>
    <mdx n="80" f="v">
      <t c="5">
        <n x="81"/>
        <n x="143"/>
        <n x="120"/>
        <n x="83"/>
        <n x="111" s="1"/>
      </t>
    </mdx>
    <mdx n="80" f="v">
      <t c="5">
        <n x="81"/>
        <n x="143"/>
        <n x="91"/>
        <n x="118" s="1"/>
        <n x="132"/>
      </t>
    </mdx>
    <mdx n="80" f="v">
      <t c="5">
        <n x="81"/>
        <n x="143"/>
        <n x="120"/>
        <n x="147"/>
        <n x="92"/>
      </t>
    </mdx>
    <mdx n="80" f="v">
      <t c="5" si="124">
        <n x="81"/>
        <n x="143"/>
        <n x="120"/>
        <n x="122"/>
        <n x="140"/>
      </t>
    </mdx>
    <mdx n="80" f="v">
      <t c="5" si="124">
        <n x="81"/>
        <n x="143"/>
        <n x="91"/>
        <n x="83"/>
        <n x="85"/>
      </t>
    </mdx>
    <mdx n="80" f="v">
      <t c="5" si="124">
        <n x="81"/>
        <n x="143"/>
        <n x="120"/>
        <n x="122"/>
        <n x="111" s="1"/>
      </t>
    </mdx>
    <mdx n="80" f="v">
      <t c="4">
        <n x="81"/>
        <n x="146" s="1"/>
        <n x="121" s="1"/>
        <n x="85"/>
      </t>
    </mdx>
    <mdx n="80" f="v">
      <t c="4">
        <n x="81"/>
        <n x="143"/>
        <n x="84"/>
        <n x="131"/>
      </t>
    </mdx>
    <mdx n="80" f="v">
      <t c="4">
        <n x="81"/>
        <n x="143"/>
        <n x="101"/>
        <n x="85"/>
      </t>
    </mdx>
    <mdx n="80" f="v">
      <t c="4">
        <n x="81"/>
        <n x="143"/>
        <n x="91"/>
        <n x="118" s="1"/>
      </t>
    </mdx>
    <mdx n="80" f="v">
      <t c="4">
        <n x="81"/>
        <n x="143"/>
        <n x="91"/>
        <n x="83"/>
      </t>
    </mdx>
    <mdx n="80" f="v">
      <t c="4">
        <n x="81"/>
        <n x="143"/>
        <n x="128" s="1"/>
        <n x="83"/>
      </t>
    </mdx>
    <mdx n="80" f="v">
      <t c="4">
        <n x="81"/>
        <n x="143"/>
        <n x="91"/>
        <n x="127" s="1"/>
      </t>
    </mdx>
    <mdx n="80" f="v">
      <t c="4">
        <n x="81"/>
        <n x="143"/>
        <n x="120"/>
        <n x="83"/>
      </t>
    </mdx>
    <mdx n="80" f="v">
      <t c="4">
        <n x="81"/>
        <n x="143"/>
        <n x="116" s="1"/>
        <n x="90" s="1"/>
      </t>
    </mdx>
    <mdx n="80" f="v">
      <t c="4">
        <n x="81"/>
        <n x="143"/>
        <n x="91"/>
        <n x="94"/>
      </t>
    </mdx>
    <mdx n="80" f="v">
      <t c="4">
        <n x="81"/>
        <n x="143"/>
        <n x="91"/>
        <n x="112"/>
      </t>
    </mdx>
    <mdx n="97" f="v">
      <t c="3" si="107">
        <n x="87"/>
        <n x="95" s="1"/>
        <n x="145"/>
      </t>
    </mdx>
    <mdx n="97" f="v">
      <t c="4" si="107">
        <n x="89"/>
        <n x="87"/>
        <n x="145"/>
        <n x="145"/>
      </t>
    </mdx>
    <mdx n="103" f="v">
      <t c="4">
        <n x="148"/>
        <n x="134"/>
        <n x="113"/>
        <n x="126"/>
      </t>
    </mdx>
    <mdx n="103" f="v">
      <t c="4" si="106">
        <n x="148"/>
        <n x="134"/>
        <n x="169"/>
        <n x="152"/>
      </t>
    </mdx>
    <mdx n="80" f="v">
      <t c="4">
        <n x="81"/>
        <n x="143"/>
        <n x="91"/>
        <n x="144"/>
      </t>
    </mdx>
    <mdx n="80" f="v">
      <t c="4">
        <n x="81"/>
        <n x="143"/>
        <n x="91"/>
        <n x="130"/>
      </t>
    </mdx>
    <mdx n="80" f="v">
      <t c="4">
        <n x="81"/>
        <n x="143"/>
        <n x="96"/>
        <n x="132"/>
      </t>
    </mdx>
    <mdx n="80" f="v">
      <t c="4">
        <n x="81"/>
        <n x="143"/>
        <n x="120"/>
        <n x="114"/>
      </t>
    </mdx>
    <mdx n="80" f="v">
      <t c="4">
        <n x="81"/>
        <n x="143"/>
        <n x="83"/>
        <n x="89"/>
      </t>
    </mdx>
    <mdx n="80" f="v">
      <t c="4">
        <n x="81"/>
        <n x="143"/>
        <n x="91"/>
        <n x="174"/>
      </t>
    </mdx>
    <mdx n="80" f="v">
      <t c="4">
        <n x="81"/>
        <n x="143"/>
        <n x="83"/>
        <n x="83"/>
      </t>
    </mdx>
    <mdx n="80" f="v">
      <t c="4">
        <n x="81"/>
        <n x="166"/>
        <n x="83"/>
        <n x="119"/>
      </t>
    </mdx>
    <mdx n="80" f="v">
      <t c="5">
        <n x="81"/>
        <n x="166"/>
        <n x="120"/>
        <n x="83"/>
        <n x="111" s="1"/>
      </t>
    </mdx>
    <mdx n="80" f="v">
      <t c="4">
        <n x="81"/>
        <n x="166"/>
        <n x="91"/>
        <n x="119"/>
      </t>
    </mdx>
    <mdx n="80" f="v">
      <t c="5">
        <n x="81"/>
        <n x="166"/>
        <n x="120"/>
        <n x="83"/>
        <n x="130"/>
      </t>
    </mdx>
    <mdx n="80" f="v">
      <t c="4">
        <n x="81"/>
        <n x="166"/>
        <n x="83"/>
        <n x="111" s="1"/>
      </t>
    </mdx>
    <mdx n="103" f="v">
      <t c="4">
        <n x="168"/>
        <n x="134"/>
        <n x="100"/>
        <n x="126"/>
      </t>
    </mdx>
    <mdx n="80" f="v">
      <t c="4">
        <n x="81"/>
        <n x="150"/>
        <n x="83"/>
        <n x="89"/>
      </t>
    </mdx>
    <mdx n="0" f="v">
      <t c="8">
        <n x="1"/>
        <n x="58"/>
        <n x="165"/>
        <n x="4"/>
        <n x="8"/>
        <n x="2"/>
        <n x="9"/>
        <n x="5"/>
      </t>
    </mdx>
    <mdx n="80" f="v">
      <t c="4">
        <n x="81"/>
        <n x="150"/>
        <n x="109"/>
        <n x="94"/>
      </t>
    </mdx>
    <mdx n="80" f="v">
      <t c="4">
        <n x="81"/>
        <n x="143"/>
        <n x="83"/>
        <n x="94"/>
      </t>
    </mdx>
    <mdx n="80" f="v">
      <t c="4">
        <n x="81"/>
        <n x="143"/>
        <n x="128" s="1"/>
        <n x="89"/>
      </t>
    </mdx>
    <mdx n="80" f="v">
      <t c="5">
        <n x="81"/>
        <n x="143"/>
        <n x="91"/>
        <n x="133"/>
        <n x="130"/>
      </t>
    </mdx>
    <mdx n="80" f="v">
      <t c="5">
        <n x="81"/>
        <n x="150"/>
        <n x="122"/>
        <n x="177"/>
        <n x="102"/>
      </t>
    </mdx>
    <mdx n="80" f="v">
      <t c="5">
        <n x="81"/>
        <n x="143"/>
        <n x="91"/>
        <n x="112"/>
        <n x="102"/>
      </t>
    </mdx>
    <mdx n="80" f="v">
      <t c="4">
        <n x="81"/>
        <n x="166"/>
        <n x="91"/>
        <n x="92"/>
      </t>
    </mdx>
    <mdx n="80" f="v">
      <t c="5">
        <n x="81"/>
        <n x="166"/>
        <n x="128" s="1"/>
        <n x="83"/>
        <n x="85"/>
      </t>
    </mdx>
    <mdx n="80" f="v">
      <t c="5" si="124">
        <n x="81"/>
        <n x="166"/>
        <n x="120"/>
        <n x="122"/>
        <n x="111" s="1"/>
      </t>
    </mdx>
    <mdx n="80" f="v">
      <t c="5" si="124">
        <n x="81"/>
        <n x="166"/>
        <n x="125"/>
        <n x="122"/>
        <n x="111" s="1"/>
      </t>
    </mdx>
    <mdx n="80" f="v">
      <t c="5" si="124">
        <n x="81"/>
        <n x="166"/>
        <n x="83"/>
        <n x="172"/>
        <n x="127" s="1"/>
      </t>
    </mdx>
    <mdx n="80" f="v">
      <t c="4">
        <n x="81"/>
        <n x="166"/>
        <n x="83"/>
        <n x="85"/>
      </t>
    </mdx>
    <mdx n="80" f="v">
      <t c="4">
        <n x="81"/>
        <n x="166"/>
        <n x="83"/>
        <n x="131"/>
      </t>
    </mdx>
    <mdx n="80" f="v">
      <t c="4">
        <n x="81"/>
        <n x="166"/>
        <n x="91"/>
        <n x="83"/>
      </t>
    </mdx>
    <mdx n="80" f="v">
      <t c="4">
        <n x="81"/>
        <n x="166"/>
        <n x="91"/>
        <n x="111" s="1"/>
      </t>
    </mdx>
    <mdx n="80" f="v">
      <t c="4">
        <n x="81"/>
        <n x="166"/>
        <n x="104"/>
        <n x="118" s="1"/>
      </t>
    </mdx>
    <mdx n="80" f="v">
      <t c="4">
        <n x="81"/>
        <n x="166"/>
        <n x="104"/>
        <n x="129"/>
      </t>
    </mdx>
    <mdx n="80" f="v">
      <t c="4">
        <n x="81"/>
        <n x="166"/>
        <n x="91"/>
        <n x="94"/>
      </t>
    </mdx>
    <mdx n="80" f="v">
      <t c="4">
        <n x="81"/>
        <n x="166"/>
        <n x="91"/>
        <n x="147"/>
      </t>
    </mdx>
    <mdx n="80" f="v">
      <t c="4">
        <n x="81"/>
        <n x="166"/>
        <n x="116" s="1"/>
        <n x="86"/>
      </t>
    </mdx>
    <mdx n="80" f="v">
      <t c="4">
        <n x="81"/>
        <n x="166"/>
        <n x="121" s="1"/>
        <n x="94"/>
      </t>
    </mdx>
    <mdx n="97" f="v">
      <t c="3" si="107">
        <n x="178"/>
        <n x="87"/>
        <n x="167"/>
      </t>
    </mdx>
    <mdx n="97" f="v">
      <t c="4" si="107">
        <n x="178"/>
        <n x="87"/>
        <n x="167"/>
        <n x="167"/>
      </t>
    </mdx>
    <mdx n="80" f="v">
      <t c="4">
        <n x="81"/>
        <n x="166"/>
        <n x="91"/>
        <n x="144"/>
      </t>
    </mdx>
    <mdx n="97" f="v">
      <t c="4" si="107">
        <n x="178"/>
        <n x="175"/>
        <n x="176"/>
        <n x="167"/>
      </t>
    </mdx>
    <mdx n="0" f="v">
      <t c="5">
        <n x="2"/>
        <n x="164"/>
        <n x="50"/>
        <n x="1"/>
        <n x="5"/>
      </t>
    </mdx>
    <mdx n="0" f="v">
      <t c="6">
        <n x="11"/>
        <n x="142"/>
        <n x="12"/>
        <n x="14"/>
        <n x="2"/>
        <n x="15"/>
      </t>
    </mdx>
    <mdx n="0" f="v">
      <t c="4">
        <n x="11"/>
        <n x="57"/>
        <n x="12"/>
        <n x="16"/>
      </t>
    </mdx>
    <mdx n="0" f="v">
      <t c="7">
        <n x="1"/>
        <n x="45"/>
        <n x="79"/>
        <n x="20"/>
        <n x="2"/>
        <n x="18"/>
        <n x="59"/>
      </t>
    </mdx>
    <mdx n="0" f="v">
      <t c="7">
        <n x="1"/>
        <n x="40"/>
        <n x="79"/>
        <n x="41"/>
        <n x="2"/>
        <n x="5"/>
        <n x="59"/>
      </t>
    </mdx>
    <mdx n="97" f="v">
      <t c="3" si="107">
        <n x="133"/>
        <n x="87"/>
        <n x="153"/>
      </t>
    </mdx>
    <mdx n="0" f="v">
      <t c="6">
        <n x="5"/>
        <n x="149"/>
        <n x="1"/>
        <n x="2"/>
        <n x="72"/>
        <n x="74"/>
      </t>
    </mdx>
    <mdx n="0" f="v">
      <t c="5">
        <n x="1"/>
        <n x="149"/>
        <n x="51"/>
        <n x="2"/>
        <n x="54"/>
      </t>
    </mdx>
    <mdx n="0" f="v">
      <t c="4">
        <n x="11"/>
        <n x="8"/>
        <n x="2"/>
        <n x="142"/>
      </t>
    </mdx>
    <mdx n="0" f="v">
      <t c="6">
        <n x="11"/>
        <n x="142"/>
        <n x="12"/>
        <n x="16"/>
        <n x="2"/>
        <n x="15"/>
      </t>
    </mdx>
    <mdx n="0" f="v">
      <t c="6">
        <n x="11"/>
        <n x="142"/>
        <n x="12"/>
        <n x="16"/>
        <n x="2"/>
        <n x="13"/>
      </t>
    </mdx>
    <mdx n="80" f="v">
      <t c="5" si="124">
        <n x="81"/>
        <n x="143"/>
        <n x="128" s="1"/>
        <n x="83"/>
        <n x="117"/>
      </t>
    </mdx>
    <mdx n="80" f="v">
      <t c="5" si="124">
        <n x="81"/>
        <n x="143"/>
        <n x="91"/>
        <n x="92"/>
        <n x="85"/>
      </t>
    </mdx>
    <mdx n="80" f="v">
      <t c="5" si="124">
        <n x="81"/>
        <n x="143"/>
        <n x="120"/>
        <n x="147"/>
        <n x="92"/>
      </t>
    </mdx>
    <mdx n="80" f="v">
      <t c="5" si="124">
        <n x="81"/>
        <n x="143"/>
        <n x="125"/>
        <n x="122"/>
        <n x="127" s="1"/>
      </t>
    </mdx>
    <mdx n="80" f="v">
      <t c="5" si="124">
        <n x="81"/>
        <n x="146" s="1"/>
        <n x="128" s="1"/>
        <n x="181"/>
        <n x="112"/>
      </t>
    </mdx>
    <mdx n="80" f="v">
      <t c="4">
        <n x="81"/>
        <n x="150"/>
        <n x="83"/>
        <n x="129"/>
      </t>
    </mdx>
    <mdx n="97" f="v">
      <t c="4" si="107">
        <n x="87"/>
        <n x="95" s="1"/>
        <n x="95" s="1"/>
        <n x="145"/>
      </t>
    </mdx>
    <mdx n="0" f="v">
      <t c="7">
        <n x="1"/>
        <n x="33"/>
        <n x="79"/>
        <n x="25"/>
        <n x="2"/>
        <n x="18"/>
        <n x="59"/>
      </t>
    </mdx>
    <mdx n="0" f="v">
      <t c="7">
        <n x="1"/>
        <n x="30"/>
        <n x="79"/>
        <n x="20"/>
        <n x="2"/>
        <n x="18"/>
        <n x="59"/>
      </t>
    </mdx>
    <mdx n="0" f="v">
      <t c="7">
        <n x="1"/>
        <n x="34"/>
        <n x="79"/>
        <n x="37"/>
        <n x="2"/>
        <n x="18"/>
        <n x="59"/>
      </t>
    </mdx>
    <mdx n="0" f="v">
      <t c="7">
        <n x="1"/>
        <n x="46"/>
        <n x="79"/>
        <n x="32"/>
        <n x="2"/>
        <n x="18"/>
        <n x="59"/>
      </t>
    </mdx>
    <mdx n="0" f="v">
      <t c="7">
        <n x="1"/>
        <n x="43"/>
        <n x="79"/>
        <n x="25"/>
        <n x="2"/>
        <n x="18"/>
        <n x="59"/>
      </t>
    </mdx>
    <mdx n="0" f="v">
      <t c="7">
        <n x="1"/>
        <n x="77"/>
        <n x="79"/>
        <n x="32"/>
        <n x="2"/>
        <n x="18"/>
        <n x="59"/>
      </t>
    </mdx>
    <mdx n="0" f="v">
      <t c="7">
        <n x="1"/>
        <n x="182"/>
        <n x="79"/>
        <n x="179"/>
        <n x="2"/>
        <n x="18"/>
        <n x="59"/>
      </t>
    </mdx>
    <mdx n="0" f="v">
      <t c="7">
        <n x="1"/>
        <n x="141"/>
        <n x="79"/>
        <n x="25"/>
        <n x="2"/>
        <n x="18"/>
        <n x="59"/>
      </t>
    </mdx>
    <mdx n="0" f="v">
      <t c="7">
        <n x="1"/>
        <n x="26"/>
        <n x="79"/>
        <n x="25"/>
        <n x="2"/>
        <n x="18"/>
        <n x="59"/>
      </t>
    </mdx>
    <mdx n="0" f="v">
      <t c="8">
        <n x="1"/>
        <n x="19"/>
        <n x="79"/>
        <n x="20"/>
        <n x="2"/>
        <n x="5"/>
        <n x="21"/>
        <n x="59"/>
      </t>
    </mdx>
    <mdx n="0" f="v">
      <t c="8">
        <n x="1"/>
        <n x="180"/>
        <n x="79"/>
        <n x="20"/>
        <n x="2"/>
        <n x="5"/>
        <n x="183"/>
        <n x="59"/>
      </t>
    </mdx>
    <mdx n="0" f="v">
      <t c="7">
        <n x="1"/>
        <n x="180"/>
        <n x="79"/>
        <n x="20"/>
        <n x="2"/>
        <n x="5"/>
        <n x="21"/>
      </t>
    </mdx>
    <mdx n="0" f="v">
      <t c="8">
        <n x="1"/>
        <n x="19"/>
        <n x="78"/>
        <n x="20"/>
        <n x="2"/>
        <n x="5"/>
        <n x="22"/>
        <n x="59"/>
      </t>
    </mdx>
    <mdx n="0" f="v">
      <t c="7">
        <n x="1"/>
        <n x="65"/>
        <n x="78"/>
        <n x="25"/>
        <n x="2"/>
        <n x="18"/>
        <n x="59"/>
      </t>
    </mdx>
    <mdx n="0" f="v">
      <t c="7">
        <n x="1"/>
        <n x="70"/>
        <n x="78"/>
        <n x="25"/>
        <n x="2"/>
        <n x="18"/>
        <n x="59"/>
      </t>
    </mdx>
    <mdx n="0" f="v">
      <t c="4">
        <n x="11"/>
        <n x="7"/>
        <n x="2"/>
        <n x="57"/>
      </t>
    </mdx>
    <mdx n="0" f="v">
      <t c="6">
        <n x="11"/>
        <n x="57"/>
        <n x="12"/>
        <n x="14"/>
        <n x="2"/>
        <n x="15"/>
      </t>
    </mdx>
    <mdx n="0" f="v">
      <t c="6">
        <n x="5"/>
        <n x="184"/>
        <n x="1"/>
        <n x="2"/>
        <n x="72"/>
        <n x="73"/>
      </t>
    </mdx>
    <mdx n="0" f="v">
      <t c="6">
        <n x="75"/>
        <n x="184"/>
        <n x="76"/>
        <n x="2"/>
        <n x="72"/>
        <n x="73"/>
      </t>
    </mdx>
    <mdx n="0" f="v">
      <t c="6">
        <n x="5"/>
        <n x="184"/>
        <n x="1"/>
        <n x="2"/>
        <n x="72"/>
        <n x="74"/>
      </t>
    </mdx>
    <mdx n="0" f="v">
      <t c="6">
        <n x="75"/>
        <n x="184"/>
        <n x="76"/>
        <n x="2"/>
        <n x="72"/>
        <n x="74"/>
      </t>
    </mdx>
    <mdx n="0" f="v">
      <t c="5">
        <n x="2"/>
        <n x="184"/>
        <n x="50"/>
        <n x="1"/>
        <n x="5"/>
      </t>
    </mdx>
    <mdx n="0" f="v">
      <t c="10">
        <n x="1"/>
        <n x="184"/>
        <n x="10"/>
        <n x="3"/>
        <n x="4"/>
        <n x="12"/>
        <n x="2"/>
        <n x="6"/>
        <n x="17"/>
        <n x="52"/>
      </t>
    </mdx>
    <mdx n="0" f="v">
      <t c="10">
        <n x="1"/>
        <n x="184"/>
        <n x="10"/>
        <n x="3"/>
        <n x="4"/>
        <n x="12"/>
        <n x="2"/>
        <n x="6"/>
        <n x="17"/>
        <n x="53"/>
      </t>
    </mdx>
    <mdx n="0" f="v">
      <t c="4">
        <n x="11"/>
        <n x="8"/>
        <n x="2"/>
        <n x="184"/>
      </t>
    </mdx>
    <mdx n="0" f="v">
      <t c="4">
        <n x="11"/>
        <n x="7"/>
        <n x="2"/>
        <n x="184"/>
      </t>
    </mdx>
    <mdx n="0" f="v">
      <t c="6">
        <n x="11"/>
        <n x="184"/>
        <n x="12"/>
        <n x="16"/>
        <n x="2"/>
        <n x="15"/>
      </t>
    </mdx>
    <mdx n="0" f="v">
      <t c="6">
        <n x="11"/>
        <n x="184"/>
        <n x="12"/>
        <n x="14"/>
        <n x="2"/>
        <n x="15"/>
      </t>
    </mdx>
    <mdx n="0" f="v">
      <t c="6">
        <n x="11"/>
        <n x="184"/>
        <n x="12"/>
        <n x="16"/>
        <n x="2"/>
        <n x="13"/>
      </t>
    </mdx>
    <mdx n="0" f="v">
      <t c="6">
        <n x="11"/>
        <n x="184"/>
        <n x="12"/>
        <n x="14"/>
        <n x="2"/>
        <n x="13"/>
      </t>
    </mdx>
    <mdx n="80" f="v">
      <t c="4">
        <n x="81"/>
        <n x="166"/>
        <n x="91"/>
        <n x="139"/>
      </t>
    </mdx>
    <mdx n="80" f="v">
      <t c="4">
        <n x="81"/>
        <n x="166"/>
        <n x="83"/>
        <n x="90" s="1"/>
      </t>
    </mdx>
    <mdx n="80" f="v">
      <t c="4">
        <n x="81"/>
        <n x="166"/>
        <n x="83"/>
        <n x="133"/>
      </t>
    </mdx>
    <mdx n="0" f="v">
      <t c="7">
        <n x="1"/>
        <n x="27"/>
        <n x="78"/>
        <n x="20"/>
        <n x="2"/>
        <n x="3"/>
        <n x="60"/>
      </t>
    </mdx>
    <mdx n="0" f="v">
      <t c="7">
        <n x="1"/>
        <n x="28"/>
        <n x="78"/>
        <n x="29"/>
        <n x="2"/>
        <n x="18"/>
        <n x="59"/>
      </t>
    </mdx>
    <mdx n="0" f="v">
      <t c="8">
        <n x="1"/>
        <n x="23"/>
        <n x="78"/>
        <n x="20"/>
        <n x="2"/>
        <n x="5"/>
        <n x="21"/>
        <n x="59"/>
      </t>
    </mdx>
    <mdx n="0" f="v">
      <t c="7">
        <n x="1"/>
        <n x="48"/>
        <n x="184"/>
        <n x="49"/>
        <n x="2"/>
        <n x="5"/>
        <n x="59"/>
      </t>
    </mdx>
    <mdx n="0" f="v">
      <t c="7">
        <n x="1"/>
        <n x="40"/>
        <n x="184"/>
        <n x="41"/>
        <n x="2"/>
        <n x="5"/>
        <n x="59"/>
      </t>
    </mdx>
    <mdx n="0" f="v">
      <t c="7">
        <n x="1"/>
        <n x="44"/>
        <n x="184"/>
        <n x="41"/>
        <n x="2"/>
        <n x="5"/>
        <n x="59"/>
      </t>
    </mdx>
    <mdx n="0" f="v">
      <t c="7">
        <n x="1"/>
        <n x="39"/>
        <n x="184"/>
        <n x="37"/>
        <n x="2"/>
        <n x="18"/>
        <n x="59"/>
      </t>
    </mdx>
    <mdx n="0" f="v">
      <t c="7">
        <n x="1"/>
        <n x="47"/>
        <n x="184"/>
        <n x="37"/>
        <n x="2"/>
        <n x="18"/>
        <n x="59"/>
      </t>
    </mdx>
    <mdx n="0" f="v">
      <t c="7">
        <n x="1"/>
        <n x="34"/>
        <n x="184"/>
        <n x="37"/>
        <n x="2"/>
        <n x="18"/>
        <n x="59"/>
      </t>
    </mdx>
    <mdx n="0" f="v">
      <t c="7">
        <n x="1"/>
        <n x="42"/>
        <n x="184"/>
        <n x="36"/>
        <n x="2"/>
        <n x="18"/>
        <n x="59"/>
      </t>
    </mdx>
    <mdx n="0" f="v">
      <t c="7">
        <n x="1"/>
        <n x="35"/>
        <n x="184"/>
        <n x="36"/>
        <n x="2"/>
        <n x="18"/>
        <n x="59"/>
      </t>
    </mdx>
    <mdx n="0" f="v">
      <t c="7">
        <n x="1"/>
        <n x="46"/>
        <n x="184"/>
        <n x="32"/>
        <n x="2"/>
        <n x="18"/>
        <n x="59"/>
      </t>
    </mdx>
    <mdx n="0" f="v">
      <t c="7">
        <n x="1"/>
        <n x="77"/>
        <n x="184"/>
        <n x="32"/>
        <n x="2"/>
        <n x="18"/>
        <n x="59"/>
      </t>
    </mdx>
    <mdx n="0" f="v">
      <t c="7">
        <n x="1"/>
        <n x="43"/>
        <n x="184"/>
        <n x="25"/>
        <n x="2"/>
        <n x="18"/>
        <n x="59"/>
      </t>
    </mdx>
    <mdx n="0" f="v">
      <t c="7">
        <n x="1"/>
        <n x="182"/>
        <n x="184"/>
        <n x="179"/>
        <n x="2"/>
        <n x="18"/>
        <n x="59"/>
      </t>
    </mdx>
    <mdx n="0" f="v">
      <t c="7">
        <n x="1"/>
        <n x="30"/>
        <n x="184"/>
        <n x="20"/>
        <n x="2"/>
        <n x="18"/>
        <n x="59"/>
      </t>
    </mdx>
    <mdx n="0" f="v">
      <t c="7">
        <n x="1"/>
        <n x="45"/>
        <n x="184"/>
        <n x="20"/>
        <n x="2"/>
        <n x="18"/>
        <n x="59"/>
      </t>
    </mdx>
    <mdx n="0" f="v">
      <t c="7">
        <n x="1"/>
        <n x="33"/>
        <n x="184"/>
        <n x="25"/>
        <n x="2"/>
        <n x="18"/>
        <n x="59"/>
      </t>
    </mdx>
    <mdx n="0" f="v">
      <t c="7">
        <n x="1"/>
        <n x="27"/>
        <n x="184"/>
        <n x="20"/>
        <n x="2"/>
        <n x="3"/>
        <n x="60"/>
      </t>
    </mdx>
    <mdx n="0" f="v">
      <t c="7">
        <n x="1"/>
        <n x="28"/>
        <n x="184"/>
        <n x="29"/>
        <n x="2"/>
        <n x="18"/>
        <n x="59"/>
      </t>
    </mdx>
    <mdx n="0" f="v">
      <t c="7">
        <n x="1"/>
        <n x="24"/>
        <n x="184"/>
        <n x="25"/>
        <n x="2"/>
        <n x="18"/>
        <n x="59"/>
      </t>
    </mdx>
    <mdx n="0" f="v">
      <t c="7">
        <n x="1"/>
        <n x="223"/>
        <n x="184"/>
        <n x="179"/>
        <n x="2"/>
        <n x="18"/>
        <n x="59"/>
      </t>
    </mdx>
    <mdx n="0" f="v">
      <t c="8">
        <n x="1"/>
        <n x="23"/>
        <n x="184"/>
        <n x="20"/>
        <n x="2"/>
        <n x="5"/>
        <n x="21"/>
        <n x="59"/>
      </t>
    </mdx>
    <mdx n="0" f="v">
      <t c="8">
        <n x="1"/>
        <n x="23"/>
        <n x="184"/>
        <n x="20"/>
        <n x="2"/>
        <n x="5"/>
        <n x="22"/>
        <n x="59"/>
      </t>
    </mdx>
    <mdx n="0" f="v">
      <t c="8">
        <n x="1"/>
        <n x="19"/>
        <n x="184"/>
        <n x="20"/>
        <n x="2"/>
        <n x="5"/>
        <n x="21"/>
        <n x="59"/>
      </t>
    </mdx>
    <mdx n="0" f="v">
      <t c="8">
        <n x="1"/>
        <n x="19"/>
        <n x="184"/>
        <n x="20"/>
        <n x="2"/>
        <n x="5"/>
        <n x="22"/>
        <n x="59"/>
      </t>
    </mdx>
    <mdx n="0" f="v">
      <t c="8">
        <n x="1"/>
        <n x="61"/>
        <n x="184"/>
        <n x="20"/>
        <n x="2"/>
        <n x="5"/>
        <n x="21"/>
        <n x="59"/>
      </t>
    </mdx>
    <mdx n="0" f="v">
      <t c="8">
        <n x="1"/>
        <n x="61"/>
        <n x="184"/>
        <n x="20"/>
        <n x="2"/>
        <n x="5"/>
        <n x="22"/>
        <n x="59"/>
      </t>
    </mdx>
    <mdx n="0" f="v">
      <t c="4">
        <n x="1"/>
        <n x="64"/>
        <n x="184"/>
        <n x="2"/>
      </t>
    </mdx>
    <mdx n="0" f="v">
      <t c="7">
        <n x="1"/>
        <n x="65"/>
        <n x="184"/>
        <n x="25"/>
        <n x="2"/>
        <n x="18"/>
        <n x="59"/>
      </t>
    </mdx>
    <mdx n="0" f="v">
      <t c="7">
        <n x="1"/>
        <n x="66"/>
        <n x="184"/>
        <n x="25"/>
        <n x="2"/>
        <n x="18"/>
        <n x="59"/>
      </t>
    </mdx>
    <mdx n="0" f="v">
      <t c="7">
        <n x="1"/>
        <n x="69"/>
        <n x="184"/>
        <n x="25"/>
        <n x="2"/>
        <n x="18"/>
        <n x="59"/>
      </t>
    </mdx>
    <mdx n="0" f="v">
      <t c="7">
        <n x="1"/>
        <n x="70"/>
        <n x="184"/>
        <n x="25"/>
        <n x="2"/>
        <n x="18"/>
        <n x="59"/>
      </t>
    </mdx>
    <mdx n="0" f="v">
      <t c="7">
        <n x="1"/>
        <n x="68"/>
        <n x="184"/>
        <n x="25"/>
        <n x="2"/>
        <n x="18"/>
        <n x="59"/>
      </t>
    </mdx>
    <mdx n="0" f="v">
      <t c="7">
        <n x="1"/>
        <n x="71"/>
        <n x="184"/>
        <n x="25"/>
        <n x="2"/>
        <n x="18"/>
        <n x="59"/>
      </t>
    </mdx>
    <mdx n="0" f="v">
      <t c="7">
        <n x="1"/>
        <n x="63"/>
        <n x="184"/>
        <n x="20"/>
        <n x="2"/>
        <n x="18"/>
        <n x="59"/>
      </t>
    </mdx>
    <mdx n="0" f="v">
      <t c="7">
        <n x="1"/>
        <n x="62"/>
        <n x="184"/>
        <n x="20"/>
        <n x="2"/>
        <n x="18"/>
        <n x="59"/>
      </t>
    </mdx>
    <mdx n="185" f="v">
      <t c="6">
        <n x="184"/>
        <n x="186"/>
        <n x="187"/>
        <n x="2"/>
        <n x="191"/>
        <n x="204"/>
      </t>
    </mdx>
    <mdx n="185" f="v">
      <t c="4">
        <n x="191" s="1"/>
        <n x="214"/>
        <n x="2"/>
        <n x="215" s="1"/>
      </t>
    </mdx>
    <mdx n="80" f="v">
      <t c="4">
        <n x="81"/>
        <n x="166"/>
        <n x="83"/>
        <n x="117"/>
      </t>
    </mdx>
    <mdx n="80" f="v">
      <t c="4">
        <n x="81"/>
        <n x="166"/>
        <n x="230"/>
        <n x="172"/>
      </t>
    </mdx>
    <mdx n="80" f="v">
      <t c="5">
        <n x="81"/>
        <n x="166"/>
        <n x="84"/>
        <n x="83"/>
        <n x="86"/>
      </t>
    </mdx>
    <mdx n="80" f="v">
      <t c="5">
        <n x="81"/>
        <n x="166"/>
        <n x="91"/>
        <n x="83"/>
        <n x="85"/>
      </t>
    </mdx>
    <mdx n="80" f="v">
      <t c="4">
        <n x="81"/>
        <n x="166"/>
        <n x="83"/>
        <n x="108"/>
      </t>
    </mdx>
    <mdx n="80" f="v">
      <t c="4">
        <n x="81"/>
        <n x="166"/>
        <n x="83"/>
        <n x="130"/>
      </t>
    </mdx>
    <mdx n="80" f="v">
      <t c="4">
        <n x="81"/>
        <n x="166"/>
        <n x="91"/>
        <n x="86"/>
      </t>
    </mdx>
    <mdx n="103" f="v">
      <t c="4" si="106">
        <n x="168"/>
        <n x="134"/>
        <n x="169"/>
        <n x="126"/>
      </t>
    </mdx>
    <mdx n="80" f="v">
      <t c="4">
        <n x="81"/>
        <n x="166"/>
        <n x="128" s="1"/>
        <n x="83"/>
      </t>
    </mdx>
    <mdx n="80" f="v">
      <t c="4">
        <n x="81"/>
        <n x="166"/>
        <n x="120"/>
        <n x="132"/>
      </t>
    </mdx>
    <mdx n="80" f="v">
      <t c="4">
        <n x="81"/>
        <n x="166"/>
        <n x="91"/>
        <n x="171"/>
      </t>
    </mdx>
    <mdx n="80" f="v">
      <t c="3">
        <n x="81"/>
        <n x="166"/>
        <n x="84"/>
      </t>
    </mdx>
    <mdx n="80" f="v">
      <t c="5">
        <n x="81"/>
        <n x="166"/>
        <n x="83"/>
        <n x="231"/>
        <n x="111" s="1"/>
      </t>
    </mdx>
    <mdx n="80" f="v">
      <t c="5">
        <n x="81"/>
        <n x="166"/>
        <n x="83"/>
        <n x="90" s="1"/>
        <n x="132"/>
      </t>
    </mdx>
    <mdx n="80" f="v">
      <t c="5">
        <n x="81"/>
        <n x="166"/>
        <n x="128" s="1"/>
        <n x="86"/>
        <n x="147"/>
      </t>
    </mdx>
    <mdx n="80" f="v">
      <t c="5">
        <n x="81"/>
        <n x="166"/>
        <n x="104"/>
        <n x="89"/>
        <n x="119"/>
      </t>
    </mdx>
    <mdx n="80" f="v">
      <t c="5" si="124">
        <n x="81"/>
        <n x="166"/>
        <n x="83"/>
        <n x="89"/>
        <n x="171"/>
      </t>
    </mdx>
    <mdx n="80" f="v">
      <t c="5" si="124">
        <n x="81"/>
        <n x="166"/>
        <n x="128" s="1"/>
        <n x="94"/>
        <n x="130"/>
      </t>
    </mdx>
    <mdx n="80" f="v">
      <t c="5" si="124">
        <n x="81"/>
        <n x="166"/>
        <n x="91"/>
        <n x="147"/>
        <n x="130"/>
      </t>
    </mdx>
    <mdx n="80" f="v">
      <t c="5" si="124">
        <n x="81"/>
        <n x="166"/>
        <n x="156"/>
        <n x="172"/>
        <n x="111" s="1"/>
      </t>
    </mdx>
    <mdx n="80" f="v">
      <t c="5" si="124">
        <n x="81"/>
        <n x="166"/>
        <n x="84"/>
        <n x="83"/>
        <n x="112"/>
      </t>
    </mdx>
    <mdx n="97" f="v">
      <t c="4" si="107">
        <n x="99"/>
        <n x="87"/>
        <n x="167"/>
        <n x="167"/>
      </t>
    </mdx>
    <mdx n="97" f="v">
      <t c="3" si="107">
        <n x="178"/>
        <n x="175"/>
        <n x="176"/>
      </t>
    </mdx>
    <mdx n="80" f="v">
      <t c="4">
        <n x="81"/>
        <n x="166"/>
        <n x="83"/>
        <n x="139"/>
      </t>
    </mdx>
    <mdx n="80" f="v">
      <t c="4">
        <n x="81"/>
        <n x="166"/>
        <n x="125"/>
        <n x="122"/>
      </t>
    </mdx>
    <mdx n="97" f="v">
      <t c="3" si="107">
        <n x="85"/>
        <n x="87"/>
        <n x="167"/>
      </t>
    </mdx>
    <mdx n="80" f="v">
      <t c="4">
        <n x="81"/>
        <n x="166"/>
        <n x="128" s="1"/>
        <n x="130"/>
      </t>
    </mdx>
    <mdx n="80" f="v">
      <t c="4">
        <n x="81"/>
        <n x="166"/>
        <n x="128" s="1"/>
        <n x="123"/>
      </t>
    </mdx>
    <mdx n="80" f="v">
      <t c="4">
        <n x="81"/>
        <n x="166"/>
        <n x="122"/>
        <n x="112"/>
      </t>
    </mdx>
    <mdx n="0" f="v">
      <t c="6">
        <n x="5"/>
        <n x="149"/>
        <n x="1"/>
        <n x="2"/>
        <n x="72"/>
        <n x="73"/>
      </t>
    </mdx>
    <mdx n="185" f="v">
      <t c="5">
        <n x="193" s="1"/>
        <n x="2"/>
        <n x="215" s="1"/>
        <n x="215" s="1"/>
        <n x="215" s="1"/>
      </t>
    </mdx>
    <mdx n="185" f="v">
      <t c="5">
        <n x="203" s="1"/>
        <n x="214"/>
        <n x="2"/>
        <n x="215" s="1"/>
        <n x="215" s="1"/>
      </t>
    </mdx>
    <mdx n="185" f="v">
      <t c="4">
        <n x="203" s="1"/>
        <n x="214"/>
        <n x="2"/>
        <n x="215" s="1"/>
      </t>
    </mdx>
    <mdx n="185" f="v">
      <t c="3">
        <n x="193" s="1"/>
        <n x="2"/>
        <n x="215" s="1"/>
      </t>
    </mdx>
    <mdx n="185" f="v">
      <t c="4">
        <n x="193" s="1"/>
        <n x="2"/>
        <n x="215" s="1"/>
        <n x="215" s="1"/>
      </t>
    </mdx>
    <mdx n="185" f="v">
      <t c="5">
        <n x="191" s="1"/>
        <n x="214"/>
        <n x="2"/>
        <n x="215" s="1"/>
        <n x="215" s="1"/>
      </t>
    </mdx>
    <mdx n="185" f="v">
      <t c="6">
        <n x="184"/>
        <n x="186"/>
        <n x="187"/>
        <n x="2"/>
        <n x="191"/>
        <n x="216"/>
      </t>
    </mdx>
    <mdx n="185" f="v">
      <t c="7">
        <n x="184"/>
        <n x="211"/>
        <n x="187"/>
        <n x="187"/>
        <n x="2"/>
        <n x="206"/>
        <n x="219" s="1"/>
      </t>
    </mdx>
    <mdx n="185" f="v">
      <t c="7">
        <n x="184"/>
        <n x="186"/>
        <n x="187"/>
        <n x="2"/>
        <n x="190"/>
        <n x="206"/>
        <n x="233"/>
      </t>
    </mdx>
    <mdx n="185" f="v">
      <t c="6">
        <n x="184"/>
        <n x="186"/>
        <n x="187"/>
        <n x="2"/>
        <n x="209" s="1"/>
        <n x="192"/>
      </t>
    </mdx>
    <mdx n="185" f="v">
      <t c="6">
        <n x="184"/>
        <n x="225"/>
        <n x="210"/>
        <n x="2"/>
        <n x="191"/>
        <n x="192"/>
      </t>
    </mdx>
    <mdx n="185" f="v">
      <t c="6">
        <n x="184"/>
        <n x="225"/>
        <n x="210"/>
        <n x="2"/>
        <n x="191"/>
        <n x="213"/>
      </t>
    </mdx>
    <mdx n="185" f="v">
      <t c="6">
        <n x="184"/>
        <n x="186"/>
        <n x="187"/>
        <n x="2"/>
        <n x="190"/>
        <n x="206"/>
      </t>
    </mdx>
    <mdx n="185" f="v">
      <t c="5">
        <n x="184"/>
        <n x="186"/>
        <n x="187"/>
        <n x="2"/>
        <n x="196" s="1"/>
      </t>
    </mdx>
    <mdx n="185" f="v">
      <t c="6">
        <n x="194" s="1"/>
        <n x="2"/>
        <n x="198"/>
        <n x="2"/>
        <n x="190"/>
        <n x="212"/>
      </t>
    </mdx>
    <mdx n="185" f="v">
      <t c="7">
        <n x="184"/>
        <n x="197"/>
        <n x="186"/>
        <n x="187"/>
        <n x="2"/>
        <n x="203"/>
        <n x="228"/>
      </t>
    </mdx>
    <mdx n="185" f="v">
      <t c="5">
        <n x="184"/>
        <n x="210"/>
        <n x="187"/>
        <n x="2"/>
        <n x="222" s="1"/>
      </t>
    </mdx>
    <mdx n="185" f="v">
      <t c="5">
        <n x="184"/>
        <n x="2"/>
        <n x="189"/>
        <n x="188"/>
        <n x="224" s="1"/>
      </t>
    </mdx>
    <mdx n="185" f="v">
      <t c="5">
        <n x="184"/>
        <n x="208"/>
        <n x="187"/>
        <n x="2"/>
        <n x="200" s="1"/>
      </t>
    </mdx>
    <mdx n="185" f="v">
      <t c="5">
        <n x="184"/>
        <n x="186"/>
        <n x="187"/>
        <n x="2"/>
        <n x="195" s="1"/>
      </t>
    </mdx>
    <mdx n="185" f="v">
      <t c="5">
        <n x="184"/>
        <n x="2"/>
        <n x="189"/>
        <n x="188"/>
        <n x="222" s="1"/>
      </t>
    </mdx>
    <mdx n="185" f="v">
      <t c="5">
        <n x="232"/>
        <n x="191"/>
        <n x="214"/>
        <n x="2"/>
        <n x="215" s="1"/>
      </t>
    </mdx>
    <mdx n="185" f="v">
      <t c="7">
        <n x="184"/>
        <n x="186"/>
        <n x="187"/>
        <n x="2"/>
        <n x="190"/>
        <n x="206"/>
        <n x="220" s="1"/>
      </t>
    </mdx>
    <mdx n="185" f="v">
      <t c="7">
        <n x="227" s="1"/>
        <n x="2"/>
        <n x="198"/>
        <n x="188"/>
        <n x="190"/>
        <n x="206"/>
        <n x="221"/>
      </t>
    </mdx>
    <mdx n="185" f="v">
      <t c="6">
        <n x="184"/>
        <n x="211"/>
        <n x="187"/>
        <n x="2"/>
        <n x="190"/>
        <n x="217"/>
      </t>
    </mdx>
    <mdx n="185" f="v">
      <t c="6">
        <n x="184"/>
        <n x="2"/>
        <n x="189"/>
        <n x="188"/>
        <n x="193"/>
        <n x="234"/>
      </t>
    </mdx>
    <mdx n="185" f="v">
      <t c="6">
        <n x="184"/>
        <n x="2"/>
        <n x="210"/>
        <n x="2"/>
        <n x="191"/>
        <n x="201"/>
      </t>
    </mdx>
    <mdx n="185" f="v">
      <t c="5">
        <n x="184"/>
        <n x="2"/>
        <n x="189"/>
        <n x="188"/>
        <n x="205" s="1"/>
      </t>
    </mdx>
    <mdx n="185" f="v">
      <t c="5">
        <n x="240"/>
        <n x="191"/>
        <n x="214"/>
        <n x="2"/>
        <n x="215" s="1"/>
      </t>
    </mdx>
    <mdx n="185" f="v">
      <t c="5">
        <n x="184"/>
        <n x="186"/>
        <n x="236" s="1"/>
        <n x="188"/>
        <n x="187"/>
      </t>
    </mdx>
    <mdx n="185" f="v">
      <t c="6">
        <n x="184"/>
        <n x="208"/>
        <n x="2"/>
        <n x="190"/>
        <n x="212"/>
        <n x="201"/>
      </t>
    </mdx>
    <mdx n="185" f="v">
      <t c="6">
        <n x="184"/>
        <n x="186"/>
        <n x="186"/>
        <n x="187"/>
        <n x="2"/>
        <n x="202"/>
      </t>
    </mdx>
    <mdx n="185" f="v">
      <t c="6">
        <n x="184"/>
        <n x="2"/>
        <n x="189"/>
        <n x="188"/>
        <n x="191"/>
        <n x="213"/>
      </t>
    </mdx>
    <mdx n="185" f="v">
      <t c="6">
        <n x="184"/>
        <n x="197"/>
        <n x="186"/>
        <n x="188"/>
        <n x="191"/>
        <n x="216"/>
      </t>
    </mdx>
    <mdx n="185" f="v">
      <t c="5">
        <n x="184"/>
        <n x="226" s="1"/>
        <n x="189"/>
        <n x="188"/>
        <n x="2"/>
      </t>
    </mdx>
    <mdx n="185" f="v">
      <t c="5">
        <n x="202"/>
        <n x="191"/>
        <n x="214"/>
        <n x="2"/>
        <n x="215" s="1"/>
      </t>
    </mdx>
    <mdx n="185" f="v">
      <t c="5">
        <n x="235"/>
        <n x="191"/>
        <n x="214"/>
        <n x="2"/>
        <n x="215" s="1"/>
      </t>
    </mdx>
    <mdx n="185" f="v">
      <t c="5">
        <n x="184"/>
        <n x="186"/>
        <n x="187"/>
        <n x="2"/>
        <n x="205" s="1"/>
      </t>
    </mdx>
    <mdx n="185" f="v">
      <t c="8">
        <n x="194" s="1"/>
        <n x="186"/>
        <n x="187"/>
        <n x="2"/>
        <n x="205" s="1"/>
        <n x="217"/>
        <n x="239"/>
        <n x="219" s="1"/>
      </t>
    </mdx>
    <mdx n="185" f="v">
      <t c="8">
        <n x="184"/>
        <n x="208"/>
        <n x="2"/>
        <n x="2"/>
        <n x="190"/>
        <n x="206"/>
        <n x="237"/>
        <n x="220" s="1"/>
      </t>
    </mdx>
    <mdx n="185" f="v">
      <t c="7">
        <n x="194" s="1"/>
        <n x="2"/>
        <n x="198"/>
        <n x="188"/>
        <n x="238"/>
        <n x="188"/>
        <n x="221"/>
      </t>
    </mdx>
    <mdx n="185" f="v">
      <t c="7">
        <n x="194" s="1"/>
        <n x="2"/>
        <n x="198"/>
        <n x="188"/>
        <n x="197"/>
        <n x="206"/>
        <n x="218"/>
      </t>
    </mdx>
    <mdx n="185" f="v">
      <t c="6">
        <n x="184"/>
        <n x="186"/>
        <n x="210"/>
        <n x="187"/>
        <n x="190"/>
        <n x="199"/>
      </t>
    </mdx>
    <mdx n="185" f="v">
      <t c="6">
        <n x="184"/>
        <n x="211"/>
        <n x="187"/>
        <n x="2"/>
        <n x="193"/>
        <n x="229"/>
      </t>
    </mdx>
    <mdx n="185" f="v">
      <t c="5">
        <n x="184"/>
        <n x="186"/>
        <n x="187"/>
        <n x="2"/>
        <n x="209" s="1"/>
      </t>
    </mdx>
    <mdx n="185" f="v">
      <t c="5">
        <n x="184"/>
        <n x="186"/>
        <n x="187"/>
        <n x="2"/>
        <n x="191"/>
      </t>
    </mdx>
    <mdx n="185" f="v">
      <t c="5">
        <n x="184"/>
        <n x="186"/>
        <n x="187"/>
        <n x="2"/>
        <n x="190"/>
      </t>
    </mdx>
    <mdx n="185" f="v">
      <t c="6">
        <n x="184"/>
        <n x="208"/>
        <n x="189"/>
        <n x="188"/>
        <n x="191"/>
        <n x="201"/>
      </t>
    </mdx>
    <mdx n="185" f="v">
      <t c="7">
        <n x="184"/>
        <n x="225"/>
        <n x="210"/>
        <n x="187"/>
        <n x="2"/>
        <n x="190"/>
        <n x="206"/>
      </t>
    </mdx>
    <mdx n="185" f="v">
      <t c="7">
        <n x="184"/>
        <n x="197"/>
        <n x="210"/>
        <n x="187"/>
        <n x="2"/>
        <n x="190"/>
        <n x="206"/>
      </t>
    </mdx>
    <mdx n="185" f="v">
      <t c="6">
        <n x="184"/>
        <n x="2"/>
        <n x="189"/>
        <n x="188"/>
        <n x="195" s="1"/>
        <n x="196" s="1"/>
      </t>
    </mdx>
    <mdx n="185" f="v">
      <t c="6">
        <n x="184"/>
        <n x="226" s="1"/>
        <n x="242"/>
        <n x="187"/>
        <n x="2"/>
        <n x="196" s="1"/>
      </t>
    </mdx>
    <mdx n="185" f="v">
      <t c="7">
        <n x="184"/>
        <n x="197"/>
        <n x="186"/>
        <n x="187"/>
        <n x="2"/>
        <n x="190"/>
        <n x="206"/>
      </t>
    </mdx>
    <mdx n="185" f="v">
      <t c="7">
        <n x="184"/>
        <n x="207" s="1"/>
        <n x="186"/>
        <n x="187"/>
        <n x="2"/>
        <n x="191"/>
        <n x="192"/>
      </t>
    </mdx>
    <mdx n="185" f="v">
      <t c="5">
        <n x="184"/>
        <n x="2"/>
        <n x="189"/>
        <n x="188"/>
        <n x="209" s="1"/>
      </t>
    </mdx>
    <mdx n="185" f="v">
      <t c="4">
        <n x="194" s="1"/>
        <n x="2"/>
        <n x="189"/>
        <n x="188"/>
      </t>
    </mdx>
    <mdx n="185" f="v">
      <t c="7">
        <n x="184"/>
        <n x="186"/>
        <n x="187"/>
        <n x="2"/>
        <n x="190"/>
        <n x="206"/>
        <n x="218"/>
      </t>
    </mdx>
    <mdx n="185" f="v">
      <t c="6">
        <n x="184"/>
        <n x="208"/>
        <n x="2"/>
        <n x="222" s="1"/>
        <n x="2"/>
        <n x="243"/>
      </t>
    </mdx>
    <mdx n="185" f="v">
      <t c="7">
        <n x="184"/>
        <n x="186"/>
        <n x="187"/>
        <n x="2"/>
        <n x="190"/>
        <n x="206"/>
        <n x="244"/>
      </t>
    </mdx>
    <mdx n="185" f="v">
      <t c="7">
        <n x="184"/>
        <n x="207" s="1"/>
        <n x="186"/>
        <n x="187"/>
        <n x="2"/>
        <n x="190"/>
        <n x="217"/>
      </t>
    </mdx>
    <mdx n="185" f="v">
      <t c="7">
        <n x="184"/>
        <n x="186"/>
        <n x="198"/>
        <n x="2"/>
        <n x="190"/>
        <n x="206"/>
        <n x="241"/>
      </t>
    </mdx>
    <mdx n="185" f="v">
      <t c="7">
        <n x="184"/>
        <n x="207" s="1"/>
        <n x="186"/>
        <n x="187"/>
        <n x="2"/>
        <n x="205" s="1"/>
        <n x="199"/>
      </t>
    </mdx>
    <mdx n="185" f="v">
      <t c="5">
        <n x="184"/>
        <n x="210"/>
        <n x="187"/>
        <n x="2"/>
        <n x="195" s="1"/>
      </t>
    </mdx>
    <mdx n="185" f="v">
      <t c="5">
        <n x="184"/>
        <n x="207" s="1"/>
        <n x="186"/>
        <n x="187"/>
        <n x="2"/>
      </t>
    </mdx>
    <mdx n="185" f="v">
      <t c="6">
        <n x="184"/>
        <n x="208"/>
        <n x="2"/>
        <n x="188"/>
        <n x="191"/>
        <n x="206"/>
      </t>
    </mdx>
    <mdx n="185" f="v">
      <t c="6">
        <n x="184"/>
        <n x="211"/>
        <n x="187"/>
        <n x="2"/>
        <n x="191"/>
        <n x="199"/>
      </t>
    </mdx>
  </mdxMetadata>
  <valueMetadata count="623">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valueMetadata>
</metadata>
</file>

<file path=xl/sharedStrings.xml><?xml version="1.0" encoding="utf-8"?>
<sst xmlns="http://schemas.openxmlformats.org/spreadsheetml/2006/main" count="4631" uniqueCount="497">
  <si>
    <t>Financial Results</t>
  </si>
  <si>
    <t>Macro</t>
  </si>
  <si>
    <t>Foreign Exchange</t>
  </si>
  <si>
    <t>North America</t>
  </si>
  <si>
    <t>Avg. USD/EUR for the period</t>
  </si>
  <si>
    <t>USD/EUR at the end of the period</t>
  </si>
  <si>
    <t>Latin America</t>
  </si>
  <si>
    <t>Avg. R$/EUR for the period</t>
  </si>
  <si>
    <t>R$/EUR at the end of the period</t>
  </si>
  <si>
    <t>Listed Subsidiaries</t>
  </si>
  <si>
    <t>Outstanding EDP Shares</t>
  </si>
  <si>
    <t>Treasury Stock</t>
  </si>
  <si>
    <t>Outstanding EDP Brasil Shares</t>
  </si>
  <si>
    <t>of which owned by EDP</t>
  </si>
  <si>
    <t>EDP ownership</t>
  </si>
  <si>
    <t>Income Statement</t>
  </si>
  <si>
    <t>Revenues</t>
  </si>
  <si>
    <t>-</t>
  </si>
  <si>
    <t>% YoY</t>
  </si>
  <si>
    <t>Cost of Goods Sold</t>
  </si>
  <si>
    <t>Discontinued Operations</t>
  </si>
  <si>
    <t xml:space="preserve">At EDPR level: </t>
  </si>
  <si>
    <t xml:space="preserve">At EDP Brasil level: </t>
  </si>
  <si>
    <t>Attributable to free-float of EDP Brasil</t>
  </si>
  <si>
    <t>Iberia (Ex-wind) &amp; Other</t>
  </si>
  <si>
    <t>Outstanding Shares</t>
  </si>
  <si>
    <t>DPS</t>
  </si>
  <si>
    <t>Balance Sheet</t>
  </si>
  <si>
    <t>Fin. investments &amp; assets held for sale (1)</t>
  </si>
  <si>
    <t>Non-controling Interest (1)</t>
  </si>
  <si>
    <t>EDP Espanha &amp; Other</t>
  </si>
  <si>
    <t>FFO/Adjusted Net Debt</t>
  </si>
  <si>
    <t>Debt by Interest Rate Type</t>
  </si>
  <si>
    <t>Floating</t>
  </si>
  <si>
    <t>Fixed</t>
  </si>
  <si>
    <t>Cash Flow Statement</t>
  </si>
  <si>
    <t>EDPR</t>
  </si>
  <si>
    <t>Hydro</t>
  </si>
  <si>
    <t>Iberia</t>
  </si>
  <si>
    <t>Brazil</t>
  </si>
  <si>
    <t>Financial Data (€ million)</t>
  </si>
  <si>
    <t>Europe</t>
  </si>
  <si>
    <t>Other</t>
  </si>
  <si>
    <t>CAPEX (€ million)</t>
  </si>
  <si>
    <t>Operating data</t>
  </si>
  <si>
    <t>Total Capacity (EBITDA + Equity MW)</t>
  </si>
  <si>
    <t>Wind</t>
  </si>
  <si>
    <t>Solar</t>
  </si>
  <si>
    <t>APAC</t>
  </si>
  <si>
    <t>Installed capacity (MW EBITDA)</t>
  </si>
  <si>
    <t>Spain</t>
  </si>
  <si>
    <t>Portugal</t>
  </si>
  <si>
    <t>Rest of Europe</t>
  </si>
  <si>
    <t>US</t>
  </si>
  <si>
    <t>Canada</t>
  </si>
  <si>
    <t>Mexico</t>
  </si>
  <si>
    <t>Vietnam</t>
  </si>
  <si>
    <t>Installed Capacity (MW Equity)</t>
  </si>
  <si>
    <t>Belgium</t>
  </si>
  <si>
    <t>Electricity Output (GWh)</t>
  </si>
  <si>
    <t>Avg. Selling Price</t>
  </si>
  <si>
    <t>Europe (€/MWh)</t>
  </si>
  <si>
    <t>North America (USD/MWh)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</si>
  <si>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</si>
  <si>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</si>
  <si>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</si>
  <si>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</si>
  <si>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</si>
  <si>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</si>
  <si>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</si>
  <si>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</si>
  <si>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</si>
  <si>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t>
  </si>
  <si>
    <t>EBITDA / Revenues</t>
  </si>
  <si>
    <t>Provisions</t>
  </si>
  <si>
    <t>Depreciation and amortisation</t>
  </si>
  <si>
    <t>Amortisation of deferred income (government grants)</t>
  </si>
  <si>
    <t>EBIT</t>
  </si>
  <si>
    <t>Operating Data</t>
  </si>
  <si>
    <t>EBITDA MW</t>
  </si>
  <si>
    <t>US PPA/Hedge</t>
  </si>
  <si>
    <t>US Merchant</t>
  </si>
  <si>
    <t>MW per Incentive</t>
  </si>
  <si>
    <t>MW with PTCs</t>
  </si>
  <si>
    <t>MW with ITCs</t>
  </si>
  <si>
    <t>MW with Cash Grant and Self Shelter</t>
  </si>
  <si>
    <t>US West</t>
  </si>
  <si>
    <t>US Central</t>
  </si>
  <si>
    <t>US East</t>
  </si>
  <si>
    <t>Average Selling Price ($/MWh)</t>
  </si>
  <si>
    <t>Average Selling Price (€/MWh)</t>
  </si>
  <si>
    <t>Spain (Including hedging)</t>
  </si>
  <si>
    <t>Financial Data (R$ million)</t>
  </si>
  <si>
    <t>Average Selling Price (R$/MWh)</t>
  </si>
  <si>
    <t>Installed Capacity (EBITDA+Equity MW)</t>
  </si>
  <si>
    <t>Installed Capacity (EBITDA MW)</t>
  </si>
  <si>
    <t>Installed Capacity (Equity MW)</t>
  </si>
  <si>
    <t>CAPEX</t>
  </si>
  <si>
    <t>Resources</t>
  </si>
  <si>
    <t>Iberia - Resources vs. LT Average (Avg.=0%)</t>
  </si>
  <si>
    <t>Brazil - GSF weighted average (%)</t>
  </si>
  <si>
    <t>Financial Data (€ Million)</t>
  </si>
  <si>
    <t>Gross Profit</t>
  </si>
  <si>
    <t>Run-of-River</t>
  </si>
  <si>
    <t>Reservoir</t>
  </si>
  <si>
    <t>Pumping activity</t>
  </si>
  <si>
    <t>Small-Hydro</t>
  </si>
  <si>
    <t xml:space="preserve">Net Production </t>
  </si>
  <si>
    <t>Pumping</t>
  </si>
  <si>
    <t>Lajeado</t>
  </si>
  <si>
    <t>Peixe angical</t>
  </si>
  <si>
    <t>Energest Consolidated</t>
  </si>
  <si>
    <t>S. Manoel</t>
  </si>
  <si>
    <t>Cachoeira-Caldeirão</t>
  </si>
  <si>
    <t>Jari</t>
  </si>
  <si>
    <t>Financial Data (R$ Million)</t>
  </si>
  <si>
    <t>Electricity Networks</t>
  </si>
  <si>
    <t>Disco</t>
  </si>
  <si>
    <t>Transco</t>
  </si>
  <si>
    <t>OPEX Performance</t>
  </si>
  <si>
    <t>Controllable Costs (1)</t>
  </si>
  <si>
    <t>Capex Performance</t>
  </si>
  <si>
    <t>Capex (€ million) (2)</t>
  </si>
  <si>
    <t>Distribution</t>
  </si>
  <si>
    <t>Transmission</t>
  </si>
  <si>
    <t xml:space="preserve">Portugal </t>
  </si>
  <si>
    <t>Networks</t>
  </si>
  <si>
    <t>Lenght of the networks (Km)</t>
  </si>
  <si>
    <t>DTCs (thous.)</t>
  </si>
  <si>
    <t>Energy Box (th)</t>
  </si>
  <si>
    <t>Customers Connected (th)</t>
  </si>
  <si>
    <t>% growth YoY</t>
  </si>
  <si>
    <t>Quality of service</t>
  </si>
  <si>
    <t>EDP São Paulo</t>
  </si>
  <si>
    <t>Technical</t>
  </si>
  <si>
    <t>Commercial</t>
  </si>
  <si>
    <t>EDP Espírito Santo</t>
  </si>
  <si>
    <t>Remote orders (% of Total)</t>
  </si>
  <si>
    <t>Telemetering (%)</t>
  </si>
  <si>
    <t>Electricity Distributed (GWh)</t>
  </si>
  <si>
    <t>High / Medium Voltage</t>
  </si>
  <si>
    <t>Low Voltage</t>
  </si>
  <si>
    <t>% of Total</t>
  </si>
  <si>
    <t>Very High / High / Medium Voltage</t>
  </si>
  <si>
    <t>Special Low Voltage</t>
  </si>
  <si>
    <t>Quality of Service</t>
  </si>
  <si>
    <t>Very High Voltage</t>
  </si>
  <si>
    <t xml:space="preserve">Brazil </t>
  </si>
  <si>
    <t>OPEX</t>
  </si>
  <si>
    <t>Other operating costs (net)</t>
  </si>
  <si>
    <t>Net Operating Costs</t>
  </si>
  <si>
    <t>Joint Ventures and Associates</t>
  </si>
  <si>
    <t>Amortisation, impairment; Provisions</t>
  </si>
  <si>
    <t>Distribution - Operating Data</t>
  </si>
  <si>
    <t>RAB (R$ million) Distribution</t>
  </si>
  <si>
    <t>Lenght of the networks (Km) Distribution</t>
  </si>
  <si>
    <t>Free Customers</t>
  </si>
  <si>
    <t>Industrial</t>
  </si>
  <si>
    <t>Residential, Commercial &amp; Other</t>
  </si>
  <si>
    <t>Transmission - Operating Data</t>
  </si>
  <si>
    <t>Lenght of the networks (Km) Transmission</t>
  </si>
  <si>
    <t>Electricity (4)</t>
  </si>
  <si>
    <t>Liberalized - Residential (4)</t>
  </si>
  <si>
    <t>CCGT</t>
  </si>
  <si>
    <t>Coal</t>
  </si>
  <si>
    <t>Coal (5)</t>
  </si>
  <si>
    <t>Operating Assets</t>
  </si>
  <si>
    <t>Incluir MW contracted e Secured em nova sheet</t>
  </si>
  <si>
    <t>Installed Capacity (MW) (1)</t>
  </si>
  <si>
    <t>Rest of Europe (2)</t>
  </si>
  <si>
    <t>Rest of North America (3)</t>
  </si>
  <si>
    <t>Brazil &amp; Others</t>
  </si>
  <si>
    <t>Gas/ CCGT</t>
  </si>
  <si>
    <t>Other (4)</t>
  </si>
  <si>
    <t>TOTAL</t>
  </si>
  <si>
    <t>Of Which:</t>
  </si>
  <si>
    <t>Electricity Generation (GWh)</t>
  </si>
  <si>
    <t>Rest of the North America (3)</t>
  </si>
  <si>
    <t xml:space="preserve">Regulated Networks: Asset and Performance indicators   </t>
  </si>
  <si>
    <t>RAB (€ million)</t>
  </si>
  <si>
    <t>Spain (5)</t>
  </si>
  <si>
    <t>Brazil (R$ million)</t>
  </si>
  <si>
    <t>Transmission (6)</t>
  </si>
  <si>
    <t>TOTAL  RAB</t>
  </si>
  <si>
    <t>% Losses (7)</t>
  </si>
  <si>
    <t>Sustainability performance</t>
  </si>
  <si>
    <t>Environment</t>
  </si>
  <si>
    <t>Renewable generation (%)</t>
  </si>
  <si>
    <t>Greenhouse gas emissions</t>
  </si>
  <si>
    <t>Scope 1 &amp; 2 Emissions Intensity (gCO2/kWh)</t>
  </si>
  <si>
    <t>Scope 1 GHG Emissions (ktCO2eq) (1)</t>
  </si>
  <si>
    <t>Scope 2 GHG Emissions (ktCO2eq) (2)</t>
  </si>
  <si>
    <t>Air quality</t>
  </si>
  <si>
    <t>NOx emissions (kt)</t>
  </si>
  <si>
    <t>SO2 emissions (kt)</t>
  </si>
  <si>
    <t>Particulate matter emissions (kt)</t>
  </si>
  <si>
    <t>Water management</t>
  </si>
  <si>
    <t>Total freshwater withdrawn (103m3)</t>
  </si>
  <si>
    <t>Total freshwater consumed  (103m3)</t>
  </si>
  <si>
    <t>Coal &amp; Waste management</t>
  </si>
  <si>
    <t>Total waste disposal (t)</t>
  </si>
  <si>
    <t>Total coal combustion waste disposal (t)</t>
  </si>
  <si>
    <t>Business Model &amp; Innovation</t>
  </si>
  <si>
    <t>Sustainable Mobility</t>
  </si>
  <si>
    <t>Light-duty fleet electrification (%)</t>
  </si>
  <si>
    <t>Electric charging points (#)</t>
  </si>
  <si>
    <t>New market opportunities</t>
  </si>
  <si>
    <t>Energy Services Revenues / Turnover (%)</t>
  </si>
  <si>
    <t>Low carbon economy</t>
  </si>
  <si>
    <t>EBITDA in Renewables (%)</t>
  </si>
  <si>
    <t>CAPEX in Renewables (%)</t>
  </si>
  <si>
    <t>Revenues from coal (%)</t>
  </si>
  <si>
    <t>Human Capital</t>
  </si>
  <si>
    <t xml:space="preserve">Employment </t>
  </si>
  <si>
    <t>Employees (#)</t>
  </si>
  <si>
    <t>Female employees (%)</t>
  </si>
  <si>
    <t>Turnover (%)</t>
  </si>
  <si>
    <t>Trainning</t>
  </si>
  <si>
    <t>Total hours of training (h)</t>
  </si>
  <si>
    <t>Employees with training (%)</t>
  </si>
  <si>
    <t>Direct training investment (€ th)</t>
  </si>
  <si>
    <t>Health and Safety</t>
  </si>
  <si>
    <t>Accidents with lost workdays EDP (3)</t>
  </si>
  <si>
    <t>Accidents with lost workdays contractors (3)</t>
  </si>
  <si>
    <t>Fatal work-related injuries EDP</t>
  </si>
  <si>
    <t>Fatal work-related injuries contractors</t>
  </si>
  <si>
    <t>Frequency rate EDP</t>
  </si>
  <si>
    <t>Frequency rate contractors</t>
  </si>
  <si>
    <t>Distribution - Financial Data (R$ Million)</t>
  </si>
  <si>
    <t>Transmission - Financial Data (R$ million)</t>
  </si>
  <si>
    <t>Electricity final price (Spain), €/MWh (3)</t>
  </si>
  <si>
    <t>Joint Ventures and Associates (1)</t>
  </si>
  <si>
    <t>- Adjustments (2)</t>
  </si>
  <si>
    <t>Recurring EBITDA (3)</t>
  </si>
  <si>
    <t>Amortisation and impairment (4)</t>
  </si>
  <si>
    <t>Unwinding of long term liabilities (5)</t>
  </si>
  <si>
    <t>Non-controlling Interests (6)</t>
  </si>
  <si>
    <t>Attributable to free-float of EDPR (7)</t>
  </si>
  <si>
    <t>Employee Benefits (€ million) (2)</t>
  </si>
  <si>
    <t>Brazil (3)</t>
  </si>
  <si>
    <t>Derivatives associated with Debt (4)</t>
  </si>
  <si>
    <t>Net Debt/EBITDA (5)</t>
  </si>
  <si>
    <t>Recurring CF from Operations (1)</t>
  </si>
  <si>
    <t>Maintenance capex (2)</t>
  </si>
  <si>
    <t>Change in Regulatory Receivables (3)</t>
  </si>
  <si>
    <t>Avg. Load Factors (%) (1)</t>
  </si>
  <si>
    <t>Electricity Output (GWh) (2)</t>
  </si>
  <si>
    <t>Distribution (3)</t>
  </si>
  <si>
    <t>RAB (€ million) (4)</t>
  </si>
  <si>
    <t>% Losses (6)</t>
  </si>
  <si>
    <t>RAB (R$ million) Transmission (7)</t>
  </si>
  <si>
    <t>Recurring net profit (8)</t>
  </si>
  <si>
    <t>Outstanding EDPR Shares</t>
  </si>
  <si>
    <t>Wind Onshore</t>
  </si>
  <si>
    <t>UK</t>
  </si>
  <si>
    <t>Wind Offshore</t>
  </si>
  <si>
    <t>Portfolio</t>
  </si>
  <si>
    <t>MW Gross</t>
  </si>
  <si>
    <t>CoD</t>
  </si>
  <si>
    <t>%OW</t>
  </si>
  <si>
    <t>Technology</t>
  </si>
  <si>
    <t>PPA/Tariff</t>
  </si>
  <si>
    <t>Status</t>
  </si>
  <si>
    <t>Ocean Winds</t>
  </si>
  <si>
    <t>1Q2022</t>
  </si>
  <si>
    <t>2Q2022</t>
  </si>
  <si>
    <t>3Q2022</t>
  </si>
  <si>
    <t>4Q2022</t>
  </si>
  <si>
    <t>Smart meters in Iberia (# m)</t>
  </si>
  <si>
    <t>Smart meters in Brazil (# m)</t>
  </si>
  <si>
    <t>South America</t>
  </si>
  <si>
    <t>South America &amp; Other</t>
  </si>
  <si>
    <t>South America ($R/MWh)</t>
  </si>
  <si>
    <t>Singapore</t>
  </si>
  <si>
    <t>APAC (€/MWh)</t>
  </si>
  <si>
    <t>Rest of APAC</t>
  </si>
  <si>
    <t>Digitalization &amp; Innovation</t>
  </si>
  <si>
    <t>Cybersecurity (bitsight rating)</t>
  </si>
  <si>
    <t>Selfcare Interactions (%)</t>
  </si>
  <si>
    <t>Electronic Invoices  (%)</t>
  </si>
  <si>
    <t xml:space="preserve">Predictive Maintenance (%) </t>
  </si>
  <si>
    <t xml:space="preserve">Digitalized Processes (%) </t>
  </si>
  <si>
    <t>Systems in the cloud (%)</t>
  </si>
  <si>
    <t>Reskilled Workforce (%)</t>
  </si>
  <si>
    <t>Headcount in Collaborative Initiatives (%)</t>
  </si>
  <si>
    <t>Innovation Totex (€m)</t>
  </si>
  <si>
    <t xml:space="preserve">Employees in innovation areas (#) </t>
  </si>
  <si>
    <t xml:space="preserve">Ongoing investments (#) </t>
  </si>
  <si>
    <t>VC Investment (€m)</t>
  </si>
  <si>
    <t>VC Investment cumulative (€m)</t>
  </si>
  <si>
    <t>n.a</t>
  </si>
  <si>
    <t>1Q2023</t>
  </si>
  <si>
    <t>1H2023</t>
  </si>
  <si>
    <t>9M2023</t>
  </si>
  <si>
    <t>3Q2023</t>
  </si>
  <si>
    <t>4Q2023</t>
  </si>
  <si>
    <t>2Q2023</t>
  </si>
  <si>
    <t>Wind &amp; Solar</t>
  </si>
  <si>
    <t>Renewables, Clients &amp; EM</t>
  </si>
  <si>
    <t>Hydro - Operating Data</t>
  </si>
  <si>
    <t>CS&amp;EM Iberia - Market data</t>
  </si>
  <si>
    <t>Supply Iberia - Operating Data</t>
  </si>
  <si>
    <t>EM &amp; Thermal Iberia - Operating Data</t>
  </si>
  <si>
    <t>Thermal Brazil - Operating Data</t>
  </si>
  <si>
    <t>Hydro, Clients &amp; EM Iberia</t>
  </si>
  <si>
    <t>Hydro, Clients &amp; EM Brazil</t>
  </si>
  <si>
    <t xml:space="preserve">Renewables, Clients &amp; EM </t>
  </si>
  <si>
    <t>Total recovered waste (%)</t>
  </si>
  <si>
    <t>Investments (€m)</t>
  </si>
  <si>
    <t>Expenses (€m)</t>
  </si>
  <si>
    <t>Environmental Fees and Penalties (€th)</t>
  </si>
  <si>
    <t>Environmental Matters</t>
  </si>
  <si>
    <t>Clients w/ electric mob. solutions (#)</t>
  </si>
  <si>
    <t>Energy Efficiency Services Revenues (€ m)</t>
  </si>
  <si>
    <t>Chile</t>
  </si>
  <si>
    <t>Netherlands</t>
  </si>
  <si>
    <t>Total Portfolio</t>
  </si>
  <si>
    <t>1Q24</t>
  </si>
  <si>
    <t>1Q2024</t>
  </si>
  <si>
    <t>1H2024</t>
  </si>
  <si>
    <t>9M2024</t>
  </si>
  <si>
    <t>2Q2024</t>
  </si>
  <si>
    <t>3Q2024</t>
  </si>
  <si>
    <t>4Q2024</t>
  </si>
  <si>
    <t>Installed Capacity (MW)</t>
  </si>
  <si>
    <t>Recurring EBITDA</t>
  </si>
  <si>
    <t>Pre-tax Profit</t>
  </si>
  <si>
    <t>Total Assets</t>
  </si>
  <si>
    <t>Total Equity</t>
  </si>
  <si>
    <t>Total Liabilities</t>
  </si>
  <si>
    <t>Employee Benefits (Net of tax)</t>
  </si>
  <si>
    <t>Regulatory Receivables (Net of tax)</t>
  </si>
  <si>
    <t>EDP Consolidated Net Debt</t>
  </si>
  <si>
    <t>Recurring Organic Cash Flow</t>
  </si>
  <si>
    <t>Decrease/(Increase) in Net Debt</t>
  </si>
  <si>
    <t>Total Capex</t>
  </si>
  <si>
    <t>Net expansion activity</t>
  </si>
  <si>
    <t xml:space="preserve">Canada </t>
  </si>
  <si>
    <t>Solar (including storage)</t>
  </si>
  <si>
    <t>FiT</t>
  </si>
  <si>
    <t>Installed</t>
  </si>
  <si>
    <t>CfD</t>
  </si>
  <si>
    <t>CfD/PPA</t>
  </si>
  <si>
    <t>Under construction</t>
  </si>
  <si>
    <t>Fixed + Floating</t>
  </si>
  <si>
    <t>Under development</t>
  </si>
  <si>
    <t>Arven - Shetland Islands*</t>
  </si>
  <si>
    <t>&gt;2030</t>
  </si>
  <si>
    <t>Australia</t>
  </si>
  <si>
    <t>High Sea Wind North*</t>
  </si>
  <si>
    <t>N.A</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</si>
  <si>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</si>
  <si>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</si>
  <si>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</si>
  <si>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</si>
  <si>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</si>
  <si>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</si>
  <si>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</si>
  <si>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</si>
  <si>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</si>
  <si>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</si>
  <si>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</si>
  <si>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</si>
  <si>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</si>
  <si>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</si>
  <si>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</si>
  <si>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</si>
  <si>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</si>
  <si>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</si>
  <si>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</si>
  <si>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</si>
  <si>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</si>
  <si>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</si>
  <si>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</si>
  <si>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</si>
  <si>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</si>
  <si>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</si>
  <si>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</si>
  <si>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</si>
  <si>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</si>
  <si>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</si>
  <si>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</si>
  <si>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</si>
  <si>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</si>
  <si>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</si>
  <si>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</si>
  <si>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</si>
  <si>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</si>
  <si>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</si>
  <si>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</si>
  <si>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</si>
  <si>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</si>
  <si>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</si>
  <si>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</si>
  <si>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</si>
  <si>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</si>
  <si>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</si>
  <si>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</si>
  <si>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</si>
  <si>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</si>
  <si>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</si>
  <si>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</si>
  <si>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</si>
  <si>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</si>
  <si>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</si>
  <si>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</si>
  <si>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</si>
  <si>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</si>
  <si>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</si>
  <si>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 xml:space="preserve">Net Expansion </t>
  </si>
  <si>
    <t>Dividends paid to EDP Shareholders</t>
  </si>
  <si>
    <t>Effect of exchange rate fluctuations</t>
  </si>
  <si>
    <t>Other (including one-off adjustments)</t>
  </si>
  <si>
    <t>Capex (€ million)</t>
  </si>
  <si>
    <t>Expansion</t>
  </si>
  <si>
    <t>Maintenance</t>
  </si>
  <si>
    <t>Consolidated Capex</t>
  </si>
  <si>
    <t>Net expansion activity (€ million)</t>
  </si>
  <si>
    <t>Expansion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</si>
  <si>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</si>
  <si>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</si>
  <si>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</si>
  <si>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</si>
  <si>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</si>
  <si>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</si>
  <si>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</si>
  <si>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</si>
  <si>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</si>
  <si>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</si>
  <si>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</si>
  <si>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</si>
  <si>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</si>
  <si>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</si>
  <si>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</si>
  <si>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</si>
  <si>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</si>
  <si>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</si>
  <si>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</si>
  <si>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</si>
  <si>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</si>
  <si>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</si>
  <si>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</si>
  <si>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</si>
  <si>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</si>
  <si>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</si>
  <si>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</si>
  <si>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</si>
  <si>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</si>
  <si>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</si>
  <si>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</si>
  <si>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</si>
  <si>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</si>
  <si>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</si>
  <si>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</si>
  <si>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</si>
  <si>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</si>
  <si>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</si>
  <si>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</si>
  <si>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</si>
  <si>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</si>
  <si>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</si>
  <si>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</si>
  <si>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</si>
  <si>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</si>
  <si>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</si>
  <si>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</si>
  <si>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France</t>
  </si>
  <si>
    <t>Poland</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</si>
  <si>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</si>
  <si>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</si>
  <si>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</si>
  <si>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</si>
  <si>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</si>
  <si>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</si>
  <si>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</si>
  <si>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</si>
  <si>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</si>
  <si>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</si>
  <si>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</si>
  <si>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
  </si>
  <si>
    <t>Windplus</t>
  </si>
  <si>
    <t>SeaMade</t>
  </si>
  <si>
    <t>United Kingdom</t>
  </si>
  <si>
    <t>Moray East</t>
  </si>
  <si>
    <t>Moray West</t>
  </si>
  <si>
    <t>Caledonia</t>
  </si>
  <si>
    <t>EFGL</t>
  </si>
  <si>
    <t>Normoutier</t>
  </si>
  <si>
    <t>Le Tréport</t>
  </si>
  <si>
    <t>United States</t>
  </si>
  <si>
    <t>SouthCoast</t>
  </si>
  <si>
    <t xml:space="preserve">Bluepoint </t>
  </si>
  <si>
    <t>Golden State</t>
  </si>
  <si>
    <t>B&amp;C-Wind</t>
  </si>
  <si>
    <t>South Korea</t>
  </si>
  <si>
    <t>KF Wind</t>
  </si>
  <si>
    <t>Hanbando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</si>
</sst>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b/>
      <sz val="11"/>
      <color rgb="FF92D050"/>
      <name val="Calibri"/>
      <family val="2"/>
      <scheme val="minor"/>
    </font>
    <font>
      <b/>
      <sz val="11"/>
      <color theme="9"/>
      <name val="Calibri"/>
      <family val="2"/>
      <scheme val="minor"/>
    </font>
    <font>
      <sz val="10"/>
      <color theme="1"/>
      <name val="Calibri"/>
      <family val="2"/>
      <scheme val="minor"/>
    </font>
    <font>
      <sz val="10"/>
      <name val="FT Base"/>
    </font>
    <font>
      <sz val="8"/>
      <name val="Calibri"/>
      <family val="2"/>
      <scheme val="minor"/>
    </font>
    <font>
      <sz val="11"/>
      <color rgb="FF000000"/>
      <name val="Calibri"/>
      <family val="2"/>
      <scheme val="minor"/>
    </font>
    <font>
      <b/>
      <sz val="11"/>
      <color rgb="FF00000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529">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6" borderId="0" xfId="0" applyFill="1" applyAlignment="1">
      <alignment horizontal="left" indent="1"/>
    </xf>
    <xf numFmtId="0" fontId="0" fillId="0" borderId="0" xfId="0" applyAlignment="1">
      <alignment horizontal="left" vertical="center" indent="3"/>
    </xf>
    <xf numFmtId="0" fontId="0" fillId="5" borderId="0" xfId="0" applyFill="1" applyAlignment="1">
      <alignment horizontal="left" wrapText="1"/>
    </xf>
    <xf numFmtId="0" fontId="0" fillId="5" borderId="0" xfId="0" applyFill="1" applyAlignment="1">
      <alignment horizontal="left" wrapText="1" indent="1"/>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 fillId="5" borderId="0" xfId="0" applyFont="1" applyFill="1"/>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167" fontId="13" fillId="0" borderId="0" xfId="0" applyNumberFormat="1" applyFont="1" applyFill="1" applyAlignment="1">
      <alignment vertical="center"/>
    </xf>
    <xf numFmtId="0" fontId="0" fillId="0" borderId="0" xfId="0" applyFill="1"/>
    <xf numFmtId="0" fontId="0" fillId="0" borderId="0" xfId="0" applyFont="1" applyAlignment="1">
      <alignment horizontal="left" indent="1"/>
    </xf>
    <xf numFmtId="0" fontId="2" fillId="3" borderId="0" xfId="0" quotePrefix="1" applyFont="1" applyFill="1"/>
    <xf numFmtId="1" fontId="8" fillId="3" borderId="0" xfId="0" applyNumberFormat="1" applyFont="1" applyFill="1" applyAlignment="1">
      <alignment vertical="center"/>
    </xf>
    <xf numFmtId="0" fontId="31" fillId="3" borderId="0" xfId="0" quotePrefix="1" applyFont="1" applyFill="1"/>
    <xf numFmtId="0" fontId="0" fillId="3" borderId="0" xfId="0" quotePrefix="1" applyFill="1"/>
    <xf numFmtId="0" fontId="32"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3" fontId="3" fillId="0" borderId="0" xfId="0" applyNumberFormat="1" applyFont="1" applyFill="1" applyAlignment="1">
      <alignment horizontal="left" vertical="center"/>
    </xf>
    <xf numFmtId="3" fontId="4" fillId="0" borderId="0" xfId="0" applyNumberFormat="1" applyFont="1" applyFill="1" applyAlignment="1">
      <alignment horizontal="left" vertical="center" indent="1"/>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10"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172" fontId="20" fillId="7" borderId="0" xfId="0" applyNumberFormat="1" applyFont="1" applyFill="1" applyAlignment="1">
      <alignment horizontal="right" vertical="center"/>
    </xf>
    <xf numFmtId="1" fontId="20" fillId="7"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16" fillId="0" borderId="0" xfId="2"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171" fontId="2" fillId="0" borderId="0" xfId="0" applyNumberFormat="1" applyFont="1" applyAlignment="1">
      <alignment horizontal="right"/>
    </xf>
    <xf numFmtId="171" fontId="3" fillId="0" borderId="0" xfId="0" applyNumberFormat="1" applyFont="1" applyAlignment="1">
      <alignment horizontal="right" vertical="center"/>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67" fontId="13" fillId="0" borderId="0" xfId="0" applyNumberFormat="1" applyFont="1" applyFill="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171" fontId="14" fillId="0" borderId="0" xfId="0" quotePrefix="1" applyNumberFormat="1" applyFont="1" applyFill="1" applyAlignment="1">
      <alignment horizontal="right"/>
    </xf>
    <xf numFmtId="0" fontId="14" fillId="0" borderId="0" xfId="0" applyFont="1" applyFill="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0" applyNumberFormat="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0" applyNumberFormat="1" applyFont="1" applyBorder="1" applyAlignment="1">
      <alignment horizontal="right"/>
    </xf>
    <xf numFmtId="171" fontId="2" fillId="0" borderId="0" xfId="1" quotePrefix="1" applyNumberFormat="1" applyFont="1" applyFill="1" applyBorder="1" applyAlignment="1">
      <alignment horizontal="right"/>
    </xf>
    <xf numFmtId="0" fontId="2" fillId="0" borderId="0" xfId="0" applyFont="1" applyBorder="1" applyAlignment="1">
      <alignment horizontal="right"/>
    </xf>
    <xf numFmtId="171" fontId="1" fillId="0" borderId="0" xfId="1" quotePrefix="1" applyNumberFormat="1" applyFont="1" applyFill="1" applyBorder="1" applyAlignment="1">
      <alignment horizontal="right"/>
    </xf>
    <xf numFmtId="0" fontId="0" fillId="0" borderId="0" xfId="0" applyBorder="1" applyAlignment="1">
      <alignment horizontal="right"/>
    </xf>
    <xf numFmtId="0" fontId="0" fillId="6" borderId="0" xfId="0" applyFill="1" applyAlignment="1">
      <alignment horizontal="right"/>
    </xf>
    <xf numFmtId="171" fontId="2" fillId="6" borderId="0" xfId="1" applyNumberFormat="1" applyFont="1" applyFill="1" applyAlignment="1">
      <alignment horizontal="right"/>
    </xf>
    <xf numFmtId="0" fontId="0" fillId="6" borderId="0" xfId="0" applyFill="1" applyBorder="1" applyAlignment="1">
      <alignment horizontal="right"/>
    </xf>
    <xf numFmtId="9" fontId="2" fillId="0" borderId="0" xfId="0" applyNumberFormat="1" applyFont="1" applyAlignment="1">
      <alignment horizontal="right"/>
    </xf>
    <xf numFmtId="9" fontId="2" fillId="0" borderId="0" xfId="0" applyNumberFormat="1" applyFont="1" applyBorder="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Fill="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2" fillId="0" borderId="0" xfId="2" applyNumberFormat="1" applyFont="1" applyAlignment="1">
      <alignment horizontal="right"/>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0" fontId="0" fillId="0" borderId="0" xfId="0" applyFont="1" applyAlignment="1">
      <alignment horizontal="right"/>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0" fontId="20" fillId="8" borderId="0" xfId="0" applyFont="1" applyFill="1" applyAlignment="1">
      <alignment vertical="center"/>
    </xf>
    <xf numFmtId="9" fontId="4" fillId="0" borderId="0" xfId="2" quotePrefix="1" applyFont="1" applyAlignment="1">
      <alignment horizontal="right" vertical="center"/>
    </xf>
    <xf numFmtId="9" fontId="4" fillId="0" borderId="0" xfId="2" applyFont="1" applyFill="1" applyAlignment="1">
      <alignment horizontal="right" vertical="center"/>
    </xf>
    <xf numFmtId="167" fontId="27" fillId="0" borderId="0" xfId="0" applyNumberFormat="1" applyFont="1" applyFill="1" applyAlignment="1">
      <alignment vertical="center"/>
    </xf>
    <xf numFmtId="0" fontId="0" fillId="0" borderId="0" xfId="0" applyFill="1" applyAlignment="1">
      <alignment wrapText="1"/>
    </xf>
    <xf numFmtId="0" fontId="2" fillId="0" borderId="0" xfId="0" applyFont="1" applyFill="1"/>
    <xf numFmtId="0" fontId="2" fillId="0" borderId="0" xfId="0" applyFont="1" applyFill="1" applyAlignment="1">
      <alignment wrapText="1"/>
    </xf>
    <xf numFmtId="1" fontId="0" fillId="0" borderId="0" xfId="0" applyNumberFormat="1" applyFill="1" applyAlignment="1">
      <alignment horizontal="right"/>
    </xf>
    <xf numFmtId="2" fontId="0" fillId="0" borderId="0" xfId="0" applyNumberFormat="1" applyFill="1" applyAlignment="1">
      <alignment horizontal="right"/>
    </xf>
    <xf numFmtId="9" fontId="0" fillId="0" borderId="0" xfId="2" applyNumberFormat="1" applyFont="1" applyAlignment="1">
      <alignment horizontal="right"/>
    </xf>
    <xf numFmtId="1" fontId="0" fillId="0" borderId="0" xfId="0" quotePrefix="1" applyNumberFormat="1" applyFill="1" applyAlignment="1">
      <alignment horizontal="right"/>
    </xf>
    <xf numFmtId="17" fontId="26" fillId="0" borderId="0" xfId="0" applyNumberFormat="1" applyFont="1" applyFill="1" applyAlignment="1">
      <alignment vertical="center"/>
    </xf>
    <xf numFmtId="0" fontId="20" fillId="0" borderId="0" xfId="0" applyFont="1" applyFill="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7"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1" fontId="0" fillId="0" borderId="0" xfId="0" quotePrefix="1" applyNumberFormat="1" applyFont="1" applyAlignment="1">
      <alignment horizontal="right"/>
    </xf>
    <xf numFmtId="171" fontId="0" fillId="0" borderId="0" xfId="0" applyNumberFormat="1" applyFont="1" applyAlignment="1">
      <alignment horizontal="right"/>
    </xf>
    <xf numFmtId="0" fontId="20" fillId="0" borderId="0" xfId="0" applyFont="1" applyFill="1" applyAlignment="1">
      <alignment horizontal="right" vertical="center"/>
    </xf>
    <xf numFmtId="171" fontId="3" fillId="0" borderId="0" xfId="0" applyNumberFormat="1" applyFont="1" applyFill="1" applyAlignment="1">
      <alignment horizontal="center" vertical="center"/>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0" fontId="0" fillId="0" borderId="0" xfId="0" applyFont="1"/>
    <xf numFmtId="0" fontId="0" fillId="3" borderId="0" xfId="0" applyFont="1" applyFill="1"/>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Border="1" applyAlignment="1">
      <alignment horizontal="right"/>
    </xf>
    <xf numFmtId="0" fontId="0" fillId="0" borderId="0" xfId="0" applyBorder="1"/>
    <xf numFmtId="171" fontId="3" fillId="0" borderId="0" xfId="0" quotePrefix="1" applyNumberFormat="1" applyFont="1" applyAlignment="1">
      <alignment horizontal="right" vertical="center"/>
    </xf>
    <xf numFmtId="171" fontId="4" fillId="0" borderId="0" xfId="0" applyNumberFormat="1" applyFont="1" applyFill="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0" fontId="33" fillId="3" borderId="0" xfId="0" applyFont="1" applyFill="1" applyAlignment="1">
      <alignment horizontal="left" vertical="center"/>
    </xf>
    <xf numFmtId="0" fontId="33" fillId="3" borderId="0" xfId="0" applyFont="1" applyFill="1"/>
    <xf numFmtId="0" fontId="33" fillId="0" borderId="0" xfId="0" applyFont="1"/>
    <xf numFmtId="0" fontId="33" fillId="0" borderId="0" xfId="0" applyFont="1" applyAlignment="1">
      <alignment horizontal="left"/>
    </xf>
    <xf numFmtId="171" fontId="0" fillId="0" borderId="0" xfId="1" quotePrefix="1" applyNumberFormat="1" applyFont="1" applyFill="1" applyAlignment="1">
      <alignment horizontal="right" wrapText="1"/>
    </xf>
    <xf numFmtId="1" fontId="2" fillId="0" borderId="0" xfId="0" applyNumberFormat="1" applyFont="1" applyFill="1" applyAlignment="1">
      <alignment horizontal="right"/>
    </xf>
    <xf numFmtId="1" fontId="15" fillId="0" borderId="0" xfId="0" applyNumberFormat="1" applyFont="1" applyFill="1" applyAlignment="1">
      <alignment horizontal="right"/>
    </xf>
    <xf numFmtId="3" fontId="1" fillId="0" borderId="0" xfId="2" applyNumberFormat="1" applyFont="1" applyFill="1" applyAlignment="1">
      <alignment horizontal="right"/>
    </xf>
    <xf numFmtId="1" fontId="0" fillId="0" borderId="0" xfId="0" applyNumberFormat="1" applyAlignment="1">
      <alignment horizontal="center"/>
    </xf>
    <xf numFmtId="1" fontId="0" fillId="0" borderId="0" xfId="2" applyNumberFormat="1" applyFont="1" applyAlignment="1">
      <alignment horizontal="right"/>
    </xf>
    <xf numFmtId="0" fontId="2" fillId="0" borderId="1" xfId="0" applyFont="1" applyFill="1" applyBorder="1"/>
    <xf numFmtId="0" fontId="1" fillId="0" borderId="6" xfId="1" applyNumberFormat="1" applyFont="1" applyFill="1" applyBorder="1" applyAlignment="1">
      <alignment horizontal="right"/>
    </xf>
    <xf numFmtId="0" fontId="1" fillId="0" borderId="0" xfId="0" applyNumberFormat="1"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NumberFormat="1" applyFont="1" applyFill="1" applyBorder="1" applyAlignment="1">
      <alignment horizontal="right"/>
    </xf>
    <xf numFmtId="171" fontId="3" fillId="0" borderId="0" xfId="0" applyNumberFormat="1" applyFont="1" applyFill="1" applyAlignment="1">
      <alignment horizontal="right" vertical="center"/>
    </xf>
    <xf numFmtId="1" fontId="4" fillId="0" borderId="0" xfId="0" applyNumberFormat="1" applyFont="1" applyAlignment="1">
      <alignment horizontal="right"/>
    </xf>
    <xf numFmtId="1" fontId="3" fillId="0" borderId="0" xfId="0" applyNumberFormat="1" applyFont="1" applyAlignment="1">
      <alignment horizontal="right"/>
    </xf>
    <xf numFmtId="3" fontId="34" fillId="0" borderId="0" xfId="0" applyNumberFormat="1" applyFont="1" applyAlignment="1">
      <alignment vertical="center"/>
    </xf>
    <xf numFmtId="171" fontId="15" fillId="0" borderId="0" xfId="1" applyNumberFormat="1" applyFont="1" applyAlignment="1">
      <alignment horizontal="right"/>
    </xf>
    <xf numFmtId="9" fontId="15" fillId="0" borderId="0" xfId="2" applyFont="1" applyAlignment="1">
      <alignment horizontal="right"/>
    </xf>
    <xf numFmtId="2" fontId="1" fillId="0" borderId="6" xfId="1" applyNumberFormat="1" applyFont="1" applyFill="1" applyBorder="1" applyAlignment="1">
      <alignment horizontal="right"/>
    </xf>
    <xf numFmtId="171" fontId="0" fillId="0" borderId="5" xfId="0" applyNumberFormat="1" applyFill="1" applyBorder="1" applyAlignment="1">
      <alignment horizontal="right"/>
    </xf>
    <xf numFmtId="0" fontId="0" fillId="0" borderId="0" xfId="0" applyFont="1" applyFill="1" applyAlignment="1">
      <alignment horizontal="right"/>
    </xf>
    <xf numFmtId="9" fontId="0" fillId="0" borderId="0" xfId="0" applyNumberFormat="1" applyFont="1" applyAlignment="1">
      <alignment horizontal="right"/>
    </xf>
    <xf numFmtId="9" fontId="0" fillId="0" borderId="0" xfId="0" applyNumberFormat="1" applyFont="1" applyFill="1"/>
    <xf numFmtId="3" fontId="0" fillId="0" borderId="0" xfId="0" applyNumberFormat="1" applyFont="1" applyAlignment="1">
      <alignment horizontal="right"/>
    </xf>
    <xf numFmtId="171" fontId="0" fillId="0" borderId="0" xfId="0" applyNumberFormat="1" applyFill="1" applyAlignment="1">
      <alignment horizontal="right"/>
    </xf>
    <xf numFmtId="0" fontId="4" fillId="0" borderId="0" xfId="0" applyFont="1" applyFill="1" applyAlignment="1">
      <alignment horizontal="left" indent="1"/>
    </xf>
    <xf numFmtId="171" fontId="2" fillId="0" borderId="0" xfId="0" quotePrefix="1" applyNumberFormat="1" applyFont="1" applyFill="1" applyAlignment="1">
      <alignment horizontal="center"/>
    </xf>
    <xf numFmtId="171" fontId="2" fillId="0" borderId="0" xfId="0" quotePrefix="1" applyNumberFormat="1" applyFont="1" applyFill="1" applyAlignment="1">
      <alignment horizontal="right"/>
    </xf>
    <xf numFmtId="171" fontId="2" fillId="0" borderId="0" xfId="0" applyNumberFormat="1" applyFont="1" applyFill="1" applyAlignment="1">
      <alignment horizontal="right"/>
    </xf>
    <xf numFmtId="0" fontId="2" fillId="0" borderId="0" xfId="0" applyFont="1" applyFill="1" applyAlignment="1">
      <alignment horizontal="right"/>
    </xf>
    <xf numFmtId="9" fontId="0" fillId="0" borderId="0" xfId="0" applyNumberFormat="1" applyFont="1" applyFill="1" applyAlignment="1">
      <alignment horizontal="right"/>
    </xf>
    <xf numFmtId="171" fontId="0" fillId="0" borderId="0" xfId="0" applyNumberFormat="1" applyFont="1" applyFill="1" applyAlignment="1">
      <alignment horizontal="right"/>
    </xf>
    <xf numFmtId="166" fontId="0" fillId="0" borderId="0" xfId="0" applyNumberFormat="1" applyAlignment="1">
      <alignment horizontal="right"/>
    </xf>
    <xf numFmtId="9" fontId="0" fillId="0" borderId="0" xfId="0" applyNumberFormat="1" applyFill="1" applyAlignment="1">
      <alignment horizontal="right"/>
    </xf>
    <xf numFmtId="166" fontId="0" fillId="0" borderId="0" xfId="0" applyNumberFormat="1" applyFill="1" applyAlignment="1">
      <alignment horizontal="right"/>
    </xf>
    <xf numFmtId="3" fontId="0" fillId="0" borderId="0" xfId="0" applyNumberFormat="1" applyFill="1" applyAlignment="1">
      <alignment horizontal="right"/>
    </xf>
    <xf numFmtId="4" fontId="0" fillId="0" borderId="0" xfId="0" applyNumberFormat="1" applyFill="1" applyAlignment="1">
      <alignment horizontal="right"/>
    </xf>
    <xf numFmtId="1" fontId="0" fillId="0" borderId="0" xfId="2" applyNumberFormat="1" applyFont="1" applyFill="1" applyAlignment="1">
      <alignment horizontal="right"/>
    </xf>
    <xf numFmtId="0" fontId="0" fillId="0" borderId="0" xfId="2" applyNumberFormat="1" applyFont="1" applyFill="1" applyAlignment="1">
      <alignment horizontal="right"/>
    </xf>
    <xf numFmtId="175" fontId="4" fillId="0" borderId="0" xfId="0" applyNumberFormat="1" applyFont="1" applyFill="1" applyAlignment="1">
      <alignment horizontal="right" vertical="center"/>
    </xf>
    <xf numFmtId="173" fontId="4" fillId="0" borderId="0" xfId="0" applyNumberFormat="1" applyFont="1" applyFill="1" applyAlignment="1">
      <alignment horizontal="right" vertical="center"/>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0" fontId="20" fillId="0" borderId="0" xfId="0" applyNumberFormat="1" applyFont="1" applyAlignment="1">
      <alignment horizontal="right" vertical="center"/>
    </xf>
    <xf numFmtId="10" fontId="0" fillId="0" borderId="0" xfId="2" applyNumberFormat="1" applyFont="1" applyFill="1" applyAlignment="1">
      <alignment horizontal="right"/>
    </xf>
    <xf numFmtId="174" fontId="0" fillId="0" borderId="0" xfId="0" applyNumberFormat="1" applyFill="1" applyAlignment="1">
      <alignment horizontal="right"/>
    </xf>
    <xf numFmtId="10" fontId="0" fillId="0" borderId="0" xfId="2" applyNumberFormat="1" applyFont="1"/>
    <xf numFmtId="9" fontId="0" fillId="0" borderId="0" xfId="2" applyNumberFormat="1" applyFont="1"/>
    <xf numFmtId="9" fontId="0" fillId="0" borderId="0" xfId="2" applyNumberFormat="1" applyFont="1" applyFill="1" applyAlignment="1">
      <alignment horizontal="right"/>
    </xf>
    <xf numFmtId="171" fontId="0" fillId="0" borderId="0" xfId="1" applyNumberFormat="1" applyFont="1" applyAlignment="1">
      <alignment horizontal="right"/>
    </xf>
    <xf numFmtId="9" fontId="0" fillId="0" borderId="0" xfId="2" applyNumberFormat="1" applyFont="1" applyAlignment="1">
      <alignment horizontal="right"/>
    </xf>
    <xf numFmtId="9" fontId="2" fillId="0" borderId="0" xfId="2" applyNumberFormat="1" applyFont="1" applyAlignment="1">
      <alignment horizontal="right"/>
    </xf>
    <xf numFmtId="171" fontId="2" fillId="0" borderId="0" xfId="1" applyNumberFormat="1" applyFont="1" applyBorder="1" applyAlignment="1">
      <alignment horizontal="right" wrapText="1"/>
    </xf>
    <xf numFmtId="9" fontId="4" fillId="0" borderId="0" xfId="2" applyNumberFormat="1" applyFont="1" applyAlignment="1">
      <alignment horizontal="right" vertical="center"/>
    </xf>
    <xf numFmtId="1" fontId="0" fillId="0" borderId="0" xfId="2" applyNumberFormat="1" applyFont="1" applyAlignment="1">
      <alignment horizontal="right"/>
    </xf>
    <xf numFmtId="0" fontId="0" fillId="0" borderId="0" xfId="2" applyNumberFormat="1" applyFont="1" applyAlignment="1">
      <alignment horizontal="right"/>
    </xf>
    <xf numFmtId="171" fontId="2" fillId="0" borderId="5" xfId="1" applyNumberFormat="1" applyFont="1" applyBorder="1" applyAlignment="1">
      <alignment horizontal="right"/>
    </xf>
    <xf numFmtId="9" fontId="2" fillId="0" borderId="0" xfId="0" applyNumberFormat="1" applyFont="1" applyFill="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171" fontId="23" fillId="0" borderId="0" xfId="0" applyNumberFormat="1" applyFont="1" applyFill="1" applyAlignment="1">
      <alignment horizontal="right"/>
    </xf>
    <xf numFmtId="0" fontId="36" fillId="0" borderId="0" xfId="0" applyFont="1" applyAlignment="1">
      <alignment horizontal="right" wrapText="1"/>
    </xf>
    <xf numFmtId="0" fontId="37" fillId="0" borderId="0" xfId="0" applyFont="1" applyAlignment="1">
      <alignment horizontal="right" wrapText="1"/>
    </xf>
    <xf numFmtId="3" fontId="37" fillId="0" borderId="0" xfId="0" applyNumberFormat="1" applyFont="1" applyAlignment="1">
      <alignment horizontal="right"/>
    </xf>
    <xf numFmtId="0" fontId="36" fillId="0" borderId="0" xfId="0" applyFont="1" applyAlignment="1">
      <alignment horizontal="right"/>
    </xf>
    <xf numFmtId="0" fontId="37" fillId="0" borderId="0" xfId="0" applyFont="1" applyAlignment="1">
      <alignment horizontal="right"/>
    </xf>
    <xf numFmtId="3" fontId="36" fillId="0" borderId="5" xfId="0" applyNumberFormat="1" applyFont="1" applyBorder="1" applyAlignment="1">
      <alignment horizontal="right"/>
    </xf>
    <xf numFmtId="3" fontId="36" fillId="0" borderId="0" xfId="0" applyNumberFormat="1" applyFont="1" applyAlignment="1">
      <alignment horizontal="right"/>
    </xf>
    <xf numFmtId="9" fontId="37" fillId="0" borderId="0" xfId="0" applyNumberFormat="1" applyFont="1" applyAlignment="1">
      <alignment horizontal="right"/>
    </xf>
    <xf numFmtId="3" fontId="4" fillId="0" borderId="0" xfId="0" applyNumberFormat="1" applyFont="1" applyAlignment="1">
      <alignment horizontal="right" vertical="center"/>
    </xf>
    <xf numFmtId="178" fontId="0" fillId="0" borderId="0" xfId="0" applyNumberFormat="1"/>
    <xf numFmtId="10" fontId="2" fillId="0" borderId="0" xfId="2" applyNumberFormat="1" applyFont="1" applyAlignment="1">
      <alignment horizontal="right"/>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tabColor rgb="FF8CA7AF"/>
  </sheetPr>
  <dimension ref="I11:AG21"/>
  <sheetViews>
    <sheetView showGridLines="0" workbookViewId="0">
      <selection activeCell="P18" sqref="P18"/>
    </sheetView>
  </sheetViews>
  <sheetFormatPr defaultRowHeight="15" x14ac:dyDescent="0.25"/>
  <sheetData>
    <row r="11" spans="9:33" x14ac:dyDescent="0.25">
      <c r="P11" s="42"/>
      <c r="Q11" s="42"/>
      <c r="R11" s="42"/>
      <c r="S11" s="42"/>
      <c r="T11" s="42"/>
      <c r="U11" s="42"/>
      <c r="V11" s="42"/>
      <c r="W11" s="42"/>
      <c r="X11" s="42"/>
      <c r="Y11" s="42"/>
      <c r="Z11" s="42"/>
      <c r="AA11" s="42"/>
      <c r="AB11" s="42"/>
    </row>
    <row r="12" spans="9:33" x14ac:dyDescent="0.25">
      <c r="P12" s="42"/>
      <c r="Q12" s="42"/>
      <c r="R12" s="42"/>
      <c r="S12" s="42"/>
      <c r="T12" s="42"/>
      <c r="U12" s="42"/>
      <c r="V12" s="42"/>
      <c r="W12" s="42"/>
      <c r="X12" s="42"/>
      <c r="Y12" s="42"/>
      <c r="Z12" s="42"/>
      <c r="AA12" s="42"/>
      <c r="AB12" s="42"/>
    </row>
    <row r="13" spans="9:33" x14ac:dyDescent="0.25">
      <c r="P13" s="528"/>
      <c r="Q13" s="211"/>
      <c r="R13" s="42"/>
      <c r="S13" s="42"/>
      <c r="T13" s="42"/>
      <c r="U13" s="42"/>
      <c r="V13" s="42"/>
      <c r="W13" s="42"/>
      <c r="X13" s="42"/>
      <c r="Y13" s="42"/>
      <c r="Z13" s="42"/>
      <c r="AA13" s="42"/>
      <c r="AB13" s="42"/>
    </row>
    <row r="14" spans="9:33" ht="15" customHeight="1" x14ac:dyDescent="0.25">
      <c r="P14" s="528"/>
      <c r="Q14" s="211"/>
      <c r="R14" s="42"/>
      <c r="S14" s="42"/>
      <c r="T14" s="42"/>
      <c r="U14" s="42"/>
      <c r="V14" s="42"/>
      <c r="W14" s="42"/>
      <c r="X14" s="42"/>
      <c r="Y14" s="42"/>
      <c r="Z14" s="42"/>
      <c r="AA14" s="42"/>
      <c r="AB14" s="42"/>
    </row>
    <row r="15" spans="9:33" ht="14.45" customHeight="1" x14ac:dyDescent="0.25">
      <c r="K15" s="526" t="s">
        <v>317</v>
      </c>
      <c r="L15" s="526"/>
      <c r="M15" s="526"/>
      <c r="N15" s="22"/>
      <c r="O15" s="22"/>
      <c r="P15" s="212"/>
      <c r="Q15" s="211"/>
      <c r="R15" s="212"/>
      <c r="S15" s="212"/>
      <c r="T15" s="212"/>
      <c r="U15" s="212"/>
      <c r="V15" s="212"/>
      <c r="W15" s="212"/>
      <c r="X15" s="212"/>
      <c r="Y15" s="212"/>
      <c r="Z15" s="212"/>
      <c r="AA15" s="212"/>
      <c r="AB15" s="212"/>
      <c r="AC15" s="22"/>
      <c r="AD15" s="22"/>
      <c r="AE15" s="22"/>
      <c r="AF15" s="22"/>
      <c r="AG15" s="22"/>
    </row>
    <row r="16" spans="9:33" ht="14.45" customHeight="1" x14ac:dyDescent="0.25">
      <c r="I16" s="22"/>
      <c r="J16" s="22"/>
      <c r="K16" s="526"/>
      <c r="L16" s="526"/>
      <c r="M16" s="526"/>
      <c r="N16" s="22"/>
      <c r="O16" s="22"/>
      <c r="P16" s="212"/>
      <c r="Q16" s="213"/>
      <c r="R16" s="212"/>
      <c r="S16" s="212"/>
      <c r="T16" s="214"/>
      <c r="U16" s="212"/>
      <c r="V16" s="212"/>
      <c r="W16" s="212"/>
      <c r="X16" s="212"/>
      <c r="Y16" s="212"/>
      <c r="Z16" s="212"/>
      <c r="AA16" s="212"/>
      <c r="AB16" s="212"/>
      <c r="AC16" s="22"/>
      <c r="AD16" s="22"/>
      <c r="AE16" s="22"/>
      <c r="AF16" s="22"/>
      <c r="AG16" s="22"/>
    </row>
    <row r="17" spans="9:33" ht="14.45" customHeight="1" x14ac:dyDescent="0.25">
      <c r="I17" s="22"/>
      <c r="J17" s="22"/>
      <c r="K17" s="22"/>
      <c r="L17" s="22"/>
      <c r="M17" s="22"/>
      <c r="N17" s="22"/>
      <c r="O17" s="22"/>
      <c r="P17" s="212"/>
      <c r="Q17" s="215"/>
      <c r="R17" s="212"/>
      <c r="S17" s="212"/>
      <c r="T17" s="212"/>
      <c r="U17" s="214"/>
      <c r="V17" s="212"/>
      <c r="W17" s="212"/>
      <c r="X17" s="212"/>
      <c r="Y17" s="212"/>
      <c r="Z17" s="212"/>
      <c r="AA17" s="212"/>
      <c r="AB17" s="212"/>
      <c r="AC17" s="22"/>
      <c r="AD17" s="22"/>
      <c r="AE17" s="22"/>
      <c r="AF17" s="22"/>
      <c r="AG17" s="22"/>
    </row>
    <row r="18" spans="9:33" ht="14.45" customHeight="1" x14ac:dyDescent="0.25">
      <c r="I18" s="527" t="s">
        <v>0</v>
      </c>
      <c r="J18" s="527"/>
      <c r="K18" s="527"/>
      <c r="L18" s="527"/>
      <c r="M18" s="527"/>
      <c r="N18" s="527"/>
      <c r="O18" s="527"/>
      <c r="P18" s="216"/>
      <c r="Q18" s="211"/>
      <c r="R18" s="216"/>
      <c r="S18" s="216"/>
      <c r="T18" s="216"/>
      <c r="U18" s="216"/>
      <c r="V18" s="216"/>
      <c r="W18" s="216"/>
      <c r="X18" s="214"/>
      <c r="Y18" s="216"/>
      <c r="Z18" s="216"/>
      <c r="AA18" s="216"/>
      <c r="AB18" s="216"/>
      <c r="AC18" s="23"/>
      <c r="AD18" s="23"/>
      <c r="AE18" s="23"/>
      <c r="AF18" s="23"/>
      <c r="AG18" s="23"/>
    </row>
    <row r="19" spans="9:33" ht="14.45" customHeight="1" x14ac:dyDescent="0.25">
      <c r="I19" s="527"/>
      <c r="J19" s="527"/>
      <c r="K19" s="527"/>
      <c r="L19" s="527"/>
      <c r="M19" s="527"/>
      <c r="N19" s="527"/>
      <c r="O19" s="527"/>
      <c r="P19" s="216"/>
      <c r="Q19" s="215"/>
      <c r="R19" s="216"/>
      <c r="S19" s="216"/>
      <c r="T19" s="216"/>
      <c r="U19" s="216"/>
      <c r="V19" s="216"/>
      <c r="W19" s="216"/>
      <c r="X19" s="216"/>
      <c r="Y19" s="216"/>
      <c r="Z19" s="214"/>
      <c r="AA19" s="216"/>
      <c r="AB19" s="216"/>
      <c r="AC19" s="23"/>
      <c r="AD19" s="23"/>
      <c r="AE19" s="23"/>
      <c r="AF19" s="23"/>
      <c r="AG19" s="23"/>
    </row>
    <row r="20" spans="9:33" ht="14.45" customHeight="1" x14ac:dyDescent="0.25">
      <c r="I20" s="527"/>
      <c r="J20" s="527"/>
      <c r="K20" s="527"/>
      <c r="L20" s="527"/>
      <c r="M20" s="527"/>
      <c r="N20" s="527"/>
      <c r="O20" s="527"/>
      <c r="P20" s="216"/>
      <c r="Q20" s="215"/>
      <c r="R20" s="216"/>
      <c r="S20" s="216"/>
      <c r="T20" s="216"/>
      <c r="U20" s="216"/>
      <c r="V20" s="216"/>
      <c r="W20" s="214"/>
      <c r="X20" s="216"/>
      <c r="Y20" s="216"/>
      <c r="Z20" s="216"/>
      <c r="AA20" s="216"/>
      <c r="AB20" s="216"/>
      <c r="AC20" s="23"/>
      <c r="AD20" s="23"/>
      <c r="AE20" s="23"/>
      <c r="AF20" s="23"/>
      <c r="AG20" s="23"/>
    </row>
    <row r="21" spans="9:33" ht="15" customHeight="1" x14ac:dyDescent="0.25">
      <c r="I21" s="527"/>
      <c r="J21" s="527"/>
      <c r="K21" s="527"/>
      <c r="L21" s="527"/>
      <c r="M21" s="527"/>
      <c r="N21" s="527"/>
      <c r="O21" s="527"/>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tabColor rgb="FF3E8077"/>
  </sheetPr>
  <dimension ref="B1:P40"/>
  <sheetViews>
    <sheetView showGridLines="0" zoomScale="93" zoomScaleNormal="75" workbookViewId="0">
      <selection activeCell="L12" sqref="L12"/>
    </sheetView>
  </sheetViews>
  <sheetFormatPr defaultRowHeight="15" x14ac:dyDescent="0.25"/>
  <cols>
    <col min="1" max="1" width="5.5703125" customWidth="1"/>
    <col min="2" max="2" width="33" customWidth="1"/>
    <col min="3" max="3" width="15.5703125" customWidth="1"/>
    <col min="4" max="4" width="17" customWidth="1"/>
    <col min="5" max="7" width="15.5703125" customWidth="1"/>
    <col min="8" max="8" width="20.5703125" customWidth="1"/>
  </cols>
  <sheetData>
    <row r="1" spans="2:16" ht="5.0999999999999996" customHeight="1" x14ac:dyDescent="0.25"/>
    <row r="2" spans="2:16" ht="36" x14ac:dyDescent="0.25">
      <c r="B2" s="170" t="s">
        <v>263</v>
      </c>
      <c r="C2" s="170"/>
      <c r="D2" s="170"/>
      <c r="E2" s="170"/>
      <c r="F2" s="170"/>
      <c r="G2" s="170"/>
      <c r="H2" s="170"/>
      <c r="I2" s="170"/>
      <c r="J2" s="170"/>
      <c r="K2" s="170"/>
      <c r="L2" s="33"/>
      <c r="M2" s="33"/>
      <c r="N2" s="33"/>
      <c r="O2" s="33"/>
      <c r="P2" s="33"/>
    </row>
    <row r="3" spans="2:16" x14ac:dyDescent="0.25">
      <c r="B3" s="169" t="s">
        <v>256</v>
      </c>
      <c r="C3" s="232" t="s">
        <v>257</v>
      </c>
      <c r="D3" s="232" t="s">
        <v>258</v>
      </c>
      <c r="E3" s="232" t="s">
        <v>259</v>
      </c>
      <c r="F3" s="412" t="s">
        <v>260</v>
      </c>
      <c r="G3" s="412" t="s">
        <v>261</v>
      </c>
      <c r="H3" s="412" t="s">
        <v>262</v>
      </c>
      <c r="I3" s="409"/>
      <c r="J3" s="408"/>
      <c r="K3" s="408"/>
    </row>
    <row r="4" spans="2:16" x14ac:dyDescent="0.25">
      <c r="B4" s="55" t="s">
        <v>51</v>
      </c>
      <c r="C4" s="301">
        <f>+C5</f>
        <v>25</v>
      </c>
      <c r="D4" s="258"/>
      <c r="E4" s="258"/>
      <c r="F4" s="410"/>
      <c r="G4" s="410"/>
      <c r="H4" s="410"/>
    </row>
    <row r="5" spans="2:16" x14ac:dyDescent="0.25">
      <c r="B5" t="s">
        <v>480</v>
      </c>
      <c r="C5" s="467">
        <v>25</v>
      </c>
      <c r="D5" s="455">
        <v>2020</v>
      </c>
      <c r="E5" s="458">
        <v>0.85170000000000001</v>
      </c>
      <c r="F5" s="458" t="s">
        <v>33</v>
      </c>
      <c r="G5" s="458" t="s">
        <v>339</v>
      </c>
      <c r="H5" s="458" t="s">
        <v>340</v>
      </c>
    </row>
    <row r="6" spans="2:16" x14ac:dyDescent="0.25">
      <c r="C6" s="301"/>
      <c r="D6" s="456"/>
      <c r="E6" s="456"/>
      <c r="F6" s="456"/>
      <c r="G6" s="456"/>
      <c r="H6" s="456"/>
      <c r="L6" s="433"/>
    </row>
    <row r="7" spans="2:16" x14ac:dyDescent="0.25">
      <c r="B7" s="454" t="s">
        <v>58</v>
      </c>
      <c r="C7" s="301">
        <f>+C8</f>
        <v>487</v>
      </c>
      <c r="D7" s="456"/>
      <c r="E7" s="456"/>
      <c r="F7" s="456"/>
      <c r="G7" s="456"/>
      <c r="H7" s="456"/>
    </row>
    <row r="8" spans="2:16" x14ac:dyDescent="0.25">
      <c r="B8" t="s">
        <v>481</v>
      </c>
      <c r="C8" s="413">
        <v>487</v>
      </c>
      <c r="D8" s="455">
        <v>2021</v>
      </c>
      <c r="E8" s="458">
        <v>0.17499999999999999</v>
      </c>
      <c r="F8" s="458" t="s">
        <v>34</v>
      </c>
      <c r="G8" s="458" t="s">
        <v>341</v>
      </c>
      <c r="H8" s="458" t="s">
        <v>340</v>
      </c>
    </row>
    <row r="9" spans="2:16" x14ac:dyDescent="0.25">
      <c r="C9" s="301"/>
      <c r="D9" s="456"/>
      <c r="E9" s="456"/>
      <c r="F9" s="456"/>
      <c r="G9" s="456"/>
      <c r="H9" s="456"/>
    </row>
    <row r="10" spans="2:16" x14ac:dyDescent="0.25">
      <c r="B10" s="55" t="s">
        <v>482</v>
      </c>
      <c r="C10" s="301">
        <f>+SUM(C11:C15)</f>
        <v>6132</v>
      </c>
      <c r="D10" s="456"/>
      <c r="E10" s="456"/>
      <c r="F10" s="456"/>
      <c r="G10" s="456"/>
      <c r="H10" s="456"/>
    </row>
    <row r="11" spans="2:16" x14ac:dyDescent="0.25">
      <c r="B11" t="s">
        <v>483</v>
      </c>
      <c r="C11" s="413">
        <v>950</v>
      </c>
      <c r="D11" s="455">
        <v>2022</v>
      </c>
      <c r="E11" s="458">
        <v>0.4</v>
      </c>
      <c r="F11" s="458" t="s">
        <v>34</v>
      </c>
      <c r="G11" s="458" t="s">
        <v>341</v>
      </c>
      <c r="H11" s="458" t="s">
        <v>340</v>
      </c>
    </row>
    <row r="12" spans="2:16" x14ac:dyDescent="0.25">
      <c r="B12" t="s">
        <v>484</v>
      </c>
      <c r="C12" s="310">
        <v>882</v>
      </c>
      <c r="D12" s="457">
        <v>2025</v>
      </c>
      <c r="E12" s="459">
        <v>0.95</v>
      </c>
      <c r="F12" s="459" t="s">
        <v>34</v>
      </c>
      <c r="G12" s="459" t="s">
        <v>342</v>
      </c>
      <c r="H12" s="459" t="s">
        <v>343</v>
      </c>
    </row>
    <row r="13" spans="2:16" x14ac:dyDescent="0.25">
      <c r="B13" t="s">
        <v>485</v>
      </c>
      <c r="C13" s="310">
        <v>2000</v>
      </c>
      <c r="D13" s="492">
        <v>2030</v>
      </c>
      <c r="E13" s="459">
        <v>1</v>
      </c>
      <c r="F13" s="459" t="s">
        <v>344</v>
      </c>
      <c r="G13" s="459" t="s">
        <v>17</v>
      </c>
      <c r="H13" s="459" t="s">
        <v>345</v>
      </c>
    </row>
    <row r="14" spans="2:16" x14ac:dyDescent="0.25">
      <c r="B14" t="s">
        <v>346</v>
      </c>
      <c r="C14" s="310">
        <v>2300</v>
      </c>
      <c r="D14" s="457" t="s">
        <v>347</v>
      </c>
      <c r="E14" s="459">
        <v>0.5</v>
      </c>
      <c r="F14" s="459" t="s">
        <v>33</v>
      </c>
      <c r="G14" s="459" t="s">
        <v>17</v>
      </c>
      <c r="H14" s="459" t="s">
        <v>345</v>
      </c>
    </row>
    <row r="15" spans="2:16" x14ac:dyDescent="0.25">
      <c r="C15" s="310"/>
      <c r="D15" s="457"/>
      <c r="E15" s="459"/>
      <c r="F15" s="459"/>
      <c r="G15" s="459"/>
      <c r="H15" s="459"/>
    </row>
    <row r="16" spans="2:16" x14ac:dyDescent="0.25">
      <c r="C16" s="301"/>
      <c r="D16" s="456"/>
      <c r="E16" s="456"/>
      <c r="F16" s="456"/>
      <c r="G16" s="456"/>
      <c r="H16" s="456"/>
    </row>
    <row r="17" spans="2:13" x14ac:dyDescent="0.25">
      <c r="B17" s="55" t="s">
        <v>466</v>
      </c>
      <c r="C17" s="301">
        <f>+SUM(C18:C20)</f>
        <v>1030</v>
      </c>
      <c r="D17" s="456"/>
      <c r="E17" s="456"/>
      <c r="F17" s="456"/>
      <c r="G17" s="456"/>
      <c r="H17" s="456"/>
    </row>
    <row r="18" spans="2:13" x14ac:dyDescent="0.25">
      <c r="B18" t="s">
        <v>486</v>
      </c>
      <c r="C18" s="413">
        <v>30</v>
      </c>
      <c r="D18" s="455">
        <v>2025</v>
      </c>
      <c r="E18" s="458">
        <v>0.8</v>
      </c>
      <c r="F18" s="458" t="s">
        <v>33</v>
      </c>
      <c r="G18" s="458" t="s">
        <v>339</v>
      </c>
      <c r="H18" s="458" t="s">
        <v>343</v>
      </c>
    </row>
    <row r="19" spans="2:13" x14ac:dyDescent="0.25">
      <c r="B19" t="s">
        <v>487</v>
      </c>
      <c r="C19" s="310">
        <v>500</v>
      </c>
      <c r="D19" s="457">
        <v>2025</v>
      </c>
      <c r="E19" s="459">
        <v>0.60250000000000004</v>
      </c>
      <c r="F19" s="459" t="s">
        <v>34</v>
      </c>
      <c r="G19" s="459" t="s">
        <v>339</v>
      </c>
      <c r="H19" s="459" t="s">
        <v>343</v>
      </c>
      <c r="M19" s="433"/>
    </row>
    <row r="20" spans="2:13" x14ac:dyDescent="0.25">
      <c r="B20" t="s">
        <v>488</v>
      </c>
      <c r="C20" s="310">
        <v>500</v>
      </c>
      <c r="D20" s="492">
        <v>2025</v>
      </c>
      <c r="E20" s="459">
        <v>0.60499999999999998</v>
      </c>
      <c r="F20" s="459" t="s">
        <v>34</v>
      </c>
      <c r="G20" s="459" t="s">
        <v>339</v>
      </c>
      <c r="H20" s="459" t="s">
        <v>343</v>
      </c>
    </row>
    <row r="21" spans="2:13" x14ac:dyDescent="0.25">
      <c r="C21" s="301"/>
      <c r="D21" s="456"/>
      <c r="E21" s="456"/>
      <c r="F21" s="456"/>
      <c r="G21" s="456"/>
      <c r="H21" s="456"/>
    </row>
    <row r="22" spans="2:13" x14ac:dyDescent="0.25">
      <c r="B22" s="55" t="s">
        <v>489</v>
      </c>
      <c r="C22" s="434">
        <f>+SUM(C23:C25)</f>
        <v>6100</v>
      </c>
      <c r="D22" s="456"/>
      <c r="E22" s="456"/>
      <c r="F22" s="456"/>
      <c r="G22" s="456"/>
      <c r="H22" s="456"/>
    </row>
    <row r="23" spans="2:13" x14ac:dyDescent="0.25">
      <c r="B23" t="s">
        <v>490</v>
      </c>
      <c r="C23" s="451">
        <v>2400</v>
      </c>
      <c r="D23" s="493">
        <v>2030</v>
      </c>
      <c r="E23" s="460">
        <v>0.5</v>
      </c>
      <c r="F23" s="460" t="s">
        <v>34</v>
      </c>
      <c r="G23" s="460" t="s">
        <v>17</v>
      </c>
      <c r="H23" s="460" t="s">
        <v>345</v>
      </c>
    </row>
    <row r="24" spans="2:13" x14ac:dyDescent="0.25">
      <c r="B24" t="s">
        <v>491</v>
      </c>
      <c r="C24" s="310">
        <v>1700</v>
      </c>
      <c r="D24" s="492">
        <v>2030</v>
      </c>
      <c r="E24" s="459">
        <v>0.5</v>
      </c>
      <c r="F24" s="459" t="s">
        <v>34</v>
      </c>
      <c r="G24" s="459" t="s">
        <v>17</v>
      </c>
      <c r="H24" s="459" t="s">
        <v>345</v>
      </c>
    </row>
    <row r="25" spans="2:13" x14ac:dyDescent="0.25">
      <c r="B25" t="s">
        <v>492</v>
      </c>
      <c r="C25" s="310">
        <v>2000</v>
      </c>
      <c r="D25" s="492">
        <v>2030</v>
      </c>
      <c r="E25" s="459">
        <v>0.5</v>
      </c>
      <c r="F25" s="459" t="s">
        <v>33</v>
      </c>
      <c r="G25" s="459" t="s">
        <v>17</v>
      </c>
      <c r="H25" s="459" t="s">
        <v>345</v>
      </c>
    </row>
    <row r="26" spans="2:13" x14ac:dyDescent="0.25">
      <c r="C26" s="301"/>
      <c r="D26" s="456"/>
      <c r="E26" s="456"/>
      <c r="F26" s="456"/>
      <c r="G26" s="456"/>
      <c r="H26" s="456"/>
    </row>
    <row r="27" spans="2:13" x14ac:dyDescent="0.25">
      <c r="B27" s="55" t="s">
        <v>467</v>
      </c>
      <c r="C27" s="301">
        <f>+C28</f>
        <v>500</v>
      </c>
      <c r="D27" s="456"/>
      <c r="E27" s="456"/>
      <c r="F27" s="456"/>
      <c r="G27" s="456"/>
      <c r="H27" s="456"/>
    </row>
    <row r="28" spans="2:13" x14ac:dyDescent="0.25">
      <c r="B28" t="s">
        <v>493</v>
      </c>
      <c r="C28" s="413">
        <v>500</v>
      </c>
      <c r="D28" s="493">
        <v>2025</v>
      </c>
      <c r="E28" s="458">
        <v>1</v>
      </c>
      <c r="F28" s="458" t="s">
        <v>34</v>
      </c>
      <c r="G28" s="458" t="s">
        <v>341</v>
      </c>
      <c r="H28" s="458" t="s">
        <v>345</v>
      </c>
    </row>
    <row r="29" spans="2:13" x14ac:dyDescent="0.25">
      <c r="C29" s="301"/>
      <c r="D29" s="492"/>
      <c r="E29" s="456"/>
      <c r="F29" s="456"/>
      <c r="G29" s="456"/>
      <c r="H29" s="456"/>
    </row>
    <row r="30" spans="2:13" x14ac:dyDescent="0.25">
      <c r="B30" s="454" t="s">
        <v>494</v>
      </c>
      <c r="C30" s="301">
        <f>+SUM(C31:C32)</f>
        <v>2325</v>
      </c>
      <c r="D30" s="492"/>
      <c r="E30" s="456"/>
      <c r="F30" s="456"/>
      <c r="G30" s="456"/>
      <c r="H30" s="456"/>
    </row>
    <row r="31" spans="2:13" x14ac:dyDescent="0.25">
      <c r="B31" s="209" t="s">
        <v>495</v>
      </c>
      <c r="C31" s="413">
        <v>1200</v>
      </c>
      <c r="D31" s="493">
        <v>2030</v>
      </c>
      <c r="E31" s="458">
        <v>0.66700000000000004</v>
      </c>
      <c r="F31" s="458" t="s">
        <v>33</v>
      </c>
      <c r="G31" s="458" t="s">
        <v>17</v>
      </c>
      <c r="H31" s="458" t="s">
        <v>345</v>
      </c>
    </row>
    <row r="32" spans="2:13" x14ac:dyDescent="0.25">
      <c r="B32" s="209" t="s">
        <v>496</v>
      </c>
      <c r="C32" s="310">
        <v>1125</v>
      </c>
      <c r="D32" s="492">
        <v>2030</v>
      </c>
      <c r="E32" s="459">
        <v>1</v>
      </c>
      <c r="F32" s="459" t="s">
        <v>34</v>
      </c>
      <c r="G32" s="459" t="s">
        <v>17</v>
      </c>
      <c r="H32" s="459" t="s">
        <v>345</v>
      </c>
    </row>
    <row r="33" spans="2:8" x14ac:dyDescent="0.25">
      <c r="B33" s="209"/>
      <c r="C33" s="310"/>
      <c r="D33" s="492"/>
      <c r="E33" s="459"/>
      <c r="F33" s="459"/>
      <c r="G33" s="459"/>
      <c r="H33" s="459"/>
    </row>
    <row r="34" spans="2:8" x14ac:dyDescent="0.25">
      <c r="B34" s="209"/>
      <c r="C34" s="310"/>
      <c r="D34" s="492"/>
      <c r="E34" s="459"/>
      <c r="F34" s="459"/>
      <c r="G34" s="459"/>
      <c r="H34" s="459"/>
    </row>
    <row r="35" spans="2:8" x14ac:dyDescent="0.25">
      <c r="B35" s="454" t="s">
        <v>348</v>
      </c>
      <c r="C35" s="301">
        <f>C36</f>
        <v>1280</v>
      </c>
      <c r="D35" s="492"/>
      <c r="E35" s="456"/>
      <c r="F35" s="456"/>
      <c r="G35" s="456"/>
      <c r="H35" s="456"/>
    </row>
    <row r="36" spans="2:8" x14ac:dyDescent="0.25">
      <c r="B36" s="209" t="s">
        <v>349</v>
      </c>
      <c r="C36" s="413">
        <v>1280</v>
      </c>
      <c r="D36" s="493">
        <v>2030</v>
      </c>
      <c r="E36" s="458">
        <v>1</v>
      </c>
      <c r="F36" s="458" t="s">
        <v>34</v>
      </c>
      <c r="G36" s="458" t="s">
        <v>17</v>
      </c>
      <c r="H36" s="458" t="s">
        <v>345</v>
      </c>
    </row>
    <row r="37" spans="2:8" x14ac:dyDescent="0.25">
      <c r="C37" s="301"/>
      <c r="D37" s="435"/>
      <c r="E37" s="223"/>
      <c r="F37" s="28"/>
      <c r="G37" s="28"/>
      <c r="H37" s="28"/>
    </row>
    <row r="38" spans="2:8" x14ac:dyDescent="0.25">
      <c r="B38" s="68" t="s">
        <v>316</v>
      </c>
      <c r="C38" s="312">
        <f>+C30+C27+C22+C17+C10+C7+C4+C35</f>
        <v>17879</v>
      </c>
      <c r="D38" s="436"/>
      <c r="E38" s="414"/>
      <c r="F38" s="411"/>
      <c r="G38" s="411"/>
      <c r="H38" s="411"/>
    </row>
    <row r="39" spans="2:8" x14ac:dyDescent="0.25">
      <c r="D39" s="437"/>
    </row>
    <row r="40" spans="2:8" x14ac:dyDescent="0.25">
      <c r="D40" s="43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tabColor rgb="FF8CA7AF"/>
    <pageSetUpPr fitToPage="1"/>
  </sheetPr>
  <dimension ref="A1:AK70"/>
  <sheetViews>
    <sheetView showGridLines="0" zoomScale="103" zoomScaleNormal="75" workbookViewId="0">
      <pane xSplit="16" ySplit="3" topLeftCell="Q4" activePane="bottomRight" state="frozen"/>
      <selection activeCell="B2" sqref="B2"/>
      <selection pane="topRight" activeCell="B2" sqref="B2"/>
      <selection pane="bottomLeft" activeCell="B2" sqref="B2"/>
      <selection pane="bottomRight" activeCell="AJ6" sqref="AJ6"/>
    </sheetView>
  </sheetViews>
  <sheetFormatPr defaultColWidth="9.140625" defaultRowHeight="15" x14ac:dyDescent="0.25"/>
  <cols>
    <col min="1" max="1" width="5.5703125" customWidth="1"/>
    <col min="2" max="2" width="47.140625" customWidth="1"/>
    <col min="3" max="16" width="9.140625" hidden="1" customWidth="1"/>
    <col min="17" max="18" width="9.140625" style="25"/>
    <col min="19" max="26" width="9.140625" style="28"/>
    <col min="28" max="28" width="10.28515625" style="28" bestFit="1" customWidth="1"/>
    <col min="29" max="29" width="9.140625" style="28"/>
    <col min="30" max="30" width="11.140625" style="28" bestFit="1" customWidth="1"/>
    <col min="31" max="31" width="12" style="28" bestFit="1" customWidth="1"/>
    <col min="32" max="35" width="9.140625" style="28"/>
  </cols>
  <sheetData>
    <row r="1" spans="1:36" ht="5.0999999999999996" customHeight="1" x14ac:dyDescent="0.25"/>
    <row r="2" spans="1:36" ht="36" x14ac:dyDescent="0.65">
      <c r="A2" s="47"/>
      <c r="B2" s="180" t="s">
        <v>185</v>
      </c>
      <c r="C2" s="180"/>
      <c r="D2" s="180"/>
      <c r="E2" s="180"/>
      <c r="F2" s="180"/>
      <c r="G2" s="180"/>
      <c r="H2" s="180"/>
      <c r="I2" s="180"/>
      <c r="J2" s="180"/>
      <c r="K2" s="180"/>
      <c r="L2" s="180"/>
      <c r="M2" s="180"/>
      <c r="N2" s="180"/>
      <c r="O2" s="180"/>
      <c r="P2" s="180"/>
    </row>
    <row r="3" spans="1:36" ht="15" customHeight="1" x14ac:dyDescent="0.25">
      <c r="A3" s="121"/>
      <c r="B3" s="174" t="s">
        <v>186</v>
      </c>
      <c r="C3" s="174"/>
      <c r="D3" s="174"/>
      <c r="E3" s="174"/>
      <c r="F3" s="174"/>
      <c r="G3" s="174"/>
      <c r="H3" s="174"/>
      <c r="I3" s="174"/>
      <c r="J3" s="174"/>
      <c r="K3" s="174"/>
      <c r="L3" s="174"/>
      <c r="M3" s="174"/>
      <c r="N3" s="174"/>
      <c r="O3" s="174"/>
      <c r="P3" s="174"/>
      <c r="Q3" s="228">
        <v>2015</v>
      </c>
      <c r="R3" s="228">
        <v>2016</v>
      </c>
      <c r="S3" s="228">
        <v>2017</v>
      </c>
      <c r="T3" s="228">
        <v>2018</v>
      </c>
      <c r="U3" s="228">
        <v>2019</v>
      </c>
      <c r="V3" s="228">
        <v>2020</v>
      </c>
      <c r="W3" s="228">
        <v>2021</v>
      </c>
      <c r="X3" s="228">
        <v>2022</v>
      </c>
      <c r="Y3" s="229">
        <v>2023</v>
      </c>
      <c r="Z3" s="230">
        <v>2024</v>
      </c>
      <c r="AA3" s="223"/>
      <c r="AB3" s="397" t="s">
        <v>291</v>
      </c>
      <c r="AC3" s="397" t="s">
        <v>292</v>
      </c>
      <c r="AD3" s="397" t="s">
        <v>293</v>
      </c>
      <c r="AE3" s="397">
        <v>2023</v>
      </c>
      <c r="AF3" s="232" t="s">
        <v>318</v>
      </c>
      <c r="AG3" s="232" t="s">
        <v>319</v>
      </c>
      <c r="AH3" s="232" t="s">
        <v>320</v>
      </c>
      <c r="AI3" s="232">
        <v>2024</v>
      </c>
      <c r="AJ3" s="223"/>
    </row>
    <row r="4" spans="1:36" ht="15" customHeight="1" x14ac:dyDescent="0.25">
      <c r="A4" s="121"/>
      <c r="B4" s="50" t="s">
        <v>187</v>
      </c>
      <c r="C4" s="50"/>
      <c r="D4" s="50"/>
      <c r="E4" s="50"/>
      <c r="F4" s="50"/>
      <c r="G4" s="50"/>
      <c r="H4" s="50"/>
      <c r="I4" s="50"/>
      <c r="J4" s="50"/>
      <c r="K4" s="50"/>
      <c r="L4" s="50"/>
      <c r="M4" s="50"/>
      <c r="N4" s="50"/>
      <c r="O4" s="50"/>
      <c r="P4" s="50"/>
      <c r="Q4" s="291" t="s">
        <v>17</v>
      </c>
      <c r="R4" s="291" t="s">
        <v>17</v>
      </c>
      <c r="S4" s="291" t="s">
        <v>17</v>
      </c>
      <c r="T4" s="291" t="s">
        <v>17</v>
      </c>
      <c r="U4" s="292">
        <v>0.66202212785305636</v>
      </c>
      <c r="V4" s="292">
        <v>0.73587805986614552</v>
      </c>
      <c r="W4" s="292">
        <v>0.7485362385130101</v>
      </c>
      <c r="X4" s="292">
        <v>0.73636407537282611</v>
      </c>
      <c r="Y4" s="292">
        <f>AE4</f>
        <v>0.86832295274070825</v>
      </c>
      <c r="Z4" s="292"/>
      <c r="AA4" s="223"/>
      <c r="AB4" s="292">
        <v>0.77590919999999997</v>
      </c>
      <c r="AC4" s="327">
        <v>0.86787105944626253</v>
      </c>
      <c r="AD4" s="292">
        <v>0.85441674936767209</v>
      </c>
      <c r="AE4" s="292">
        <v>0.86832295274070825</v>
      </c>
      <c r="AF4" s="292">
        <v>0.97459826174853137</v>
      </c>
      <c r="AG4" s="327"/>
      <c r="AH4" s="327"/>
      <c r="AI4" s="327"/>
      <c r="AJ4" s="223"/>
    </row>
    <row r="5" spans="1:36" ht="15" customHeight="1" x14ac:dyDescent="0.25">
      <c r="A5" s="121"/>
      <c r="B5" s="52" t="s">
        <v>188</v>
      </c>
      <c r="C5" s="52"/>
      <c r="D5" s="52"/>
      <c r="E5" s="52"/>
      <c r="F5" s="52"/>
      <c r="G5" s="52"/>
      <c r="H5" s="52"/>
      <c r="I5" s="52"/>
      <c r="J5" s="52"/>
      <c r="K5" s="52"/>
      <c r="L5" s="52"/>
      <c r="M5" s="52"/>
      <c r="N5" s="52"/>
      <c r="O5" s="52"/>
      <c r="P5" s="52"/>
      <c r="Q5" s="237"/>
      <c r="R5" s="237"/>
      <c r="S5" s="237"/>
      <c r="T5" s="237"/>
      <c r="U5" s="237"/>
      <c r="V5" s="237"/>
      <c r="W5" s="237"/>
      <c r="X5" s="237"/>
      <c r="Y5" s="237"/>
      <c r="Z5" s="237"/>
      <c r="AA5" s="223"/>
      <c r="AB5" s="237"/>
      <c r="AC5" s="237"/>
      <c r="AD5" s="237"/>
      <c r="AE5" s="237"/>
      <c r="AF5" s="237"/>
      <c r="AG5" s="404"/>
      <c r="AH5" s="404"/>
      <c r="AI5" s="404"/>
      <c r="AJ5" s="223"/>
    </row>
    <row r="6" spans="1:36" ht="15" customHeight="1" x14ac:dyDescent="0.25">
      <c r="A6" s="121"/>
      <c r="B6" s="53" t="s">
        <v>189</v>
      </c>
      <c r="C6" s="53"/>
      <c r="D6" s="53"/>
      <c r="E6" s="53"/>
      <c r="F6" s="53"/>
      <c r="G6" s="53"/>
      <c r="H6" s="53"/>
      <c r="I6" s="53"/>
      <c r="J6" s="53"/>
      <c r="K6" s="53"/>
      <c r="L6" s="53"/>
      <c r="M6" s="53"/>
      <c r="N6" s="53"/>
      <c r="O6" s="53"/>
      <c r="P6" s="53"/>
      <c r="Q6" s="345">
        <v>391.2</v>
      </c>
      <c r="R6" s="345">
        <v>271.39999999999998</v>
      </c>
      <c r="S6" s="345">
        <v>333.5</v>
      </c>
      <c r="T6" s="345">
        <v>266</v>
      </c>
      <c r="U6" s="345">
        <v>230</v>
      </c>
      <c r="V6" s="345">
        <v>157</v>
      </c>
      <c r="W6" s="345">
        <v>176</v>
      </c>
      <c r="X6" s="345" vm="39">
        <v>160.217341</v>
      </c>
      <c r="Y6" s="345" vm="347">
        <f>AE6</f>
        <v>80.585875999999999</v>
      </c>
      <c r="Z6" s="345"/>
      <c r="AA6" s="223"/>
      <c r="AB6" s="345" vm="153">
        <v>77.590919999999997</v>
      </c>
      <c r="AC6" s="440" vm="168">
        <v>83.648306000000005</v>
      </c>
      <c r="AD6" s="345" vm="245">
        <v>88.941379999999995</v>
      </c>
      <c r="AE6" s="345" vm="347">
        <v>80.585875999999999</v>
      </c>
      <c r="AF6" s="345" vm="492">
        <v>20.361146999999999</v>
      </c>
      <c r="AG6" s="440"/>
      <c r="AH6" s="440"/>
      <c r="AI6" s="440"/>
      <c r="AJ6" s="223"/>
    </row>
    <row r="7" spans="1:36" ht="15" customHeight="1" x14ac:dyDescent="0.25">
      <c r="A7" s="121"/>
      <c r="B7" s="53" t="s">
        <v>190</v>
      </c>
      <c r="C7" s="53"/>
      <c r="D7" s="53"/>
      <c r="E7" s="53"/>
      <c r="F7" s="53"/>
      <c r="G7" s="53"/>
      <c r="H7" s="53"/>
      <c r="I7" s="53"/>
      <c r="J7" s="53"/>
      <c r="K7" s="53"/>
      <c r="L7" s="53"/>
      <c r="M7" s="53"/>
      <c r="N7" s="53"/>
      <c r="O7" s="53"/>
      <c r="P7" s="53"/>
      <c r="Q7" s="345">
        <v>21550</v>
      </c>
      <c r="R7" s="345">
        <v>18931</v>
      </c>
      <c r="S7" s="345">
        <v>23159</v>
      </c>
      <c r="T7" s="345">
        <v>18429.036902912321</v>
      </c>
      <c r="U7" s="345">
        <v>14362.619087516838</v>
      </c>
      <c r="V7" s="345">
        <v>9310.6118150000002</v>
      </c>
      <c r="W7" s="345">
        <v>9804.7627420000008</v>
      </c>
      <c r="X7" s="345" vm="33">
        <v>9405.0351819999996</v>
      </c>
      <c r="Y7" s="345" vm="337">
        <f>AE7</f>
        <v>4275.8455370000001</v>
      </c>
      <c r="Z7" s="345"/>
      <c r="AA7" s="223"/>
      <c r="AB7" s="345" vm="442">
        <v>1235.6994999999999</v>
      </c>
      <c r="AC7" s="345" vm="167">
        <v>2222.799493</v>
      </c>
      <c r="AD7" s="345" vm="219">
        <v>3242.1709759999999</v>
      </c>
      <c r="AE7" s="345" vm="337">
        <v>4275.8455370000001</v>
      </c>
      <c r="AF7" s="345" vm="493">
        <v>252.48654099999999</v>
      </c>
      <c r="AG7" s="345"/>
      <c r="AH7" s="440"/>
      <c r="AI7" s="440"/>
      <c r="AJ7" s="223"/>
    </row>
    <row r="8" spans="1:36" ht="15" customHeight="1" x14ac:dyDescent="0.25">
      <c r="A8" s="121"/>
      <c r="B8" s="53" t="s">
        <v>191</v>
      </c>
      <c r="C8" s="53"/>
      <c r="D8" s="53"/>
      <c r="E8" s="53"/>
      <c r="F8" s="53"/>
      <c r="G8" s="53"/>
      <c r="H8" s="53"/>
      <c r="I8" s="53"/>
      <c r="J8" s="53"/>
      <c r="K8" s="53"/>
      <c r="L8" s="53"/>
      <c r="M8" s="53"/>
      <c r="N8" s="53"/>
      <c r="O8" s="53"/>
      <c r="P8" s="53"/>
      <c r="Q8" s="345">
        <v>982</v>
      </c>
      <c r="R8" s="345">
        <v>565</v>
      </c>
      <c r="S8" s="345">
        <v>802</v>
      </c>
      <c r="T8" s="345">
        <v>601.8533432257633</v>
      </c>
      <c r="U8" s="345">
        <v>846.2200027193079</v>
      </c>
      <c r="V8" s="345">
        <v>594.40079600000001</v>
      </c>
      <c r="W8" s="345">
        <v>793.163006</v>
      </c>
      <c r="X8" s="345" vm="43">
        <v>469.17073499999998</v>
      </c>
      <c r="Y8" s="345" vm="338">
        <f>AE8</f>
        <v>287.65303799999998</v>
      </c>
      <c r="Z8" s="345"/>
      <c r="AA8" s="223"/>
      <c r="AB8" s="345" vm="208">
        <v>125.107979</v>
      </c>
      <c r="AC8" s="345" vm="170">
        <v>223.019137</v>
      </c>
      <c r="AD8" s="345" vm="255">
        <v>349.605053</v>
      </c>
      <c r="AE8" s="345" vm="338">
        <v>287.65303799999998</v>
      </c>
      <c r="AF8" s="345" vm="494">
        <v>101.90442400000001</v>
      </c>
      <c r="AG8" s="345"/>
      <c r="AH8" s="440"/>
      <c r="AI8" s="440"/>
      <c r="AJ8" s="223"/>
    </row>
    <row r="9" spans="1:36" ht="15" customHeight="1" x14ac:dyDescent="0.25">
      <c r="A9" s="121"/>
      <c r="B9" s="52" t="s">
        <v>192</v>
      </c>
      <c r="C9" s="52"/>
      <c r="D9" s="52"/>
      <c r="E9" s="52"/>
      <c r="F9" s="52"/>
      <c r="G9" s="52"/>
      <c r="H9" s="52"/>
      <c r="I9" s="52"/>
      <c r="J9" s="52"/>
      <c r="K9" s="52"/>
      <c r="L9" s="52"/>
      <c r="M9" s="52"/>
      <c r="N9" s="52"/>
      <c r="O9" s="52"/>
      <c r="P9" s="52"/>
      <c r="Q9" s="345"/>
      <c r="R9" s="345"/>
      <c r="S9" s="345"/>
      <c r="T9" s="345"/>
      <c r="U9" s="345"/>
      <c r="V9" s="345"/>
      <c r="W9" s="345"/>
      <c r="X9" s="345"/>
      <c r="Y9" s="345"/>
      <c r="Z9" s="345"/>
      <c r="AA9" s="223"/>
      <c r="AB9" s="345"/>
      <c r="AC9" s="345"/>
      <c r="AD9" s="345"/>
      <c r="AE9" s="345"/>
      <c r="AF9" s="345"/>
      <c r="AG9" s="345"/>
      <c r="AH9" s="440"/>
      <c r="AI9" s="440"/>
      <c r="AJ9" s="223"/>
    </row>
    <row r="10" spans="1:36" ht="15" customHeight="1" x14ac:dyDescent="0.25">
      <c r="A10" s="121"/>
      <c r="B10" s="54" t="s">
        <v>193</v>
      </c>
      <c r="C10" s="54"/>
      <c r="D10" s="54"/>
      <c r="E10" s="54"/>
      <c r="F10" s="54"/>
      <c r="G10" s="54"/>
      <c r="H10" s="54"/>
      <c r="I10" s="54"/>
      <c r="J10" s="54"/>
      <c r="K10" s="54"/>
      <c r="L10" s="54"/>
      <c r="M10" s="54"/>
      <c r="N10" s="54"/>
      <c r="O10" s="54"/>
      <c r="P10" s="54"/>
      <c r="Q10" s="419">
        <v>24.4</v>
      </c>
      <c r="R10" s="419">
        <v>16.2</v>
      </c>
      <c r="S10" s="419">
        <v>17</v>
      </c>
      <c r="T10" s="419">
        <v>14.263549761548335</v>
      </c>
      <c r="U10" s="419">
        <v>10.797786350912773</v>
      </c>
      <c r="V10" s="419">
        <v>6.1683000000000003</v>
      </c>
      <c r="W10" s="419">
        <v>8.8895999999999997</v>
      </c>
      <c r="X10" s="419" vm="44">
        <v>4.7911999999999999</v>
      </c>
      <c r="Y10" s="419" vm="339">
        <f>AE10</f>
        <v>2.4927999999999999</v>
      </c>
      <c r="Z10" s="419"/>
      <c r="AA10" s="420"/>
      <c r="AB10" s="419" vm="169">
        <v>0.67279999999999995</v>
      </c>
      <c r="AC10" s="419" vm="179">
        <v>1.1862999999999999</v>
      </c>
      <c r="AD10" s="419" vm="222">
        <v>1.8307</v>
      </c>
      <c r="AE10" s="419" vm="339">
        <v>2.4927999999999999</v>
      </c>
      <c r="AF10" s="419" vm="495">
        <v>7.7700000000000005E-2</v>
      </c>
      <c r="AG10" s="419"/>
      <c r="AH10" s="488"/>
      <c r="AI10" s="488"/>
      <c r="AJ10" s="223"/>
    </row>
    <row r="11" spans="1:36" ht="15" customHeight="1" x14ac:dyDescent="0.25">
      <c r="A11" s="121"/>
      <c r="B11" s="54" t="s">
        <v>194</v>
      </c>
      <c r="C11" s="54"/>
      <c r="D11" s="54"/>
      <c r="E11" s="54"/>
      <c r="F11" s="54"/>
      <c r="G11" s="54"/>
      <c r="H11" s="54"/>
      <c r="I11" s="54"/>
      <c r="J11" s="54"/>
      <c r="K11" s="54"/>
      <c r="L11" s="54"/>
      <c r="M11" s="54"/>
      <c r="N11" s="54"/>
      <c r="O11" s="54"/>
      <c r="P11" s="54"/>
      <c r="Q11" s="419">
        <v>24.2</v>
      </c>
      <c r="R11" s="419">
        <v>19.899999999999999</v>
      </c>
      <c r="S11" s="419">
        <v>29.8</v>
      </c>
      <c r="T11" s="419">
        <v>21.254550076231059</v>
      </c>
      <c r="U11" s="419">
        <v>16.307394650648888</v>
      </c>
      <c r="V11" s="419">
        <v>8.2283000000000008</v>
      </c>
      <c r="W11" s="419">
        <v>12.1419</v>
      </c>
      <c r="X11" s="419" vm="45">
        <v>2.3464</v>
      </c>
      <c r="Y11" s="419" vm="340">
        <f>AE11</f>
        <v>1.0448</v>
      </c>
      <c r="Z11" s="419"/>
      <c r="AA11" s="420"/>
      <c r="AB11" s="419" vm="171">
        <v>0.27410000000000001</v>
      </c>
      <c r="AC11" s="419" vm="180">
        <v>0.54500000000000004</v>
      </c>
      <c r="AD11" s="419" vm="220">
        <v>0.74409999999999998</v>
      </c>
      <c r="AE11" s="419" vm="340">
        <v>1.0448</v>
      </c>
      <c r="AF11" s="419" vm="496">
        <v>2.2499999999999999E-2</v>
      </c>
      <c r="AG11" s="419"/>
      <c r="AH11" s="488"/>
      <c r="AI11" s="488"/>
      <c r="AJ11" s="223"/>
    </row>
    <row r="12" spans="1:36" ht="15" customHeight="1" x14ac:dyDescent="0.25">
      <c r="A12" s="121"/>
      <c r="B12" s="54" t="s">
        <v>195</v>
      </c>
      <c r="C12" s="54"/>
      <c r="D12" s="54"/>
      <c r="E12" s="54"/>
      <c r="F12" s="54"/>
      <c r="G12" s="54"/>
      <c r="H12" s="54"/>
      <c r="I12" s="54"/>
      <c r="J12" s="54"/>
      <c r="K12" s="54"/>
      <c r="L12" s="54"/>
      <c r="M12" s="54"/>
      <c r="N12" s="54"/>
      <c r="O12" s="54"/>
      <c r="P12" s="54"/>
      <c r="Q12" s="419">
        <v>1.4059999999999999</v>
      </c>
      <c r="R12" s="419">
        <v>1.1659999999999999</v>
      </c>
      <c r="S12" s="419">
        <v>1.494</v>
      </c>
      <c r="T12" s="419">
        <v>2.0495091799155469</v>
      </c>
      <c r="U12" s="419">
        <v>1.6624516571974139</v>
      </c>
      <c r="V12" s="419">
        <v>0.91949999999999998</v>
      </c>
      <c r="W12" s="419">
        <v>1.2605999999999999</v>
      </c>
      <c r="X12" s="419" vm="46">
        <v>0.23169999999999999</v>
      </c>
      <c r="Y12" s="419" vm="341">
        <f>AE12</f>
        <v>9.0800000000000006E-2</v>
      </c>
      <c r="Z12" s="419"/>
      <c r="AA12" s="420"/>
      <c r="AB12" s="419" vm="458">
        <v>2.3900000000000001E-2</v>
      </c>
      <c r="AC12" s="419" vm="181">
        <v>5.4300000000000001E-2</v>
      </c>
      <c r="AD12" s="419" vm="246">
        <v>6.4000000000000001E-2</v>
      </c>
      <c r="AE12" s="419" vm="341">
        <v>9.0800000000000006E-2</v>
      </c>
      <c r="AF12" s="419" vm="497">
        <v>1.5E-3</v>
      </c>
      <c r="AG12" s="419"/>
      <c r="AH12" s="488"/>
      <c r="AI12" s="488"/>
      <c r="AJ12" s="223"/>
    </row>
    <row r="13" spans="1:36" ht="15" customHeight="1" x14ac:dyDescent="0.25">
      <c r="A13" s="121"/>
      <c r="B13" s="52" t="s">
        <v>196</v>
      </c>
      <c r="C13" s="52"/>
      <c r="D13" s="52"/>
      <c r="E13" s="52"/>
      <c r="F13" s="52"/>
      <c r="G13" s="52"/>
      <c r="H13" s="52"/>
      <c r="I13" s="52"/>
      <c r="J13" s="52"/>
      <c r="K13" s="52"/>
      <c r="L13" s="52"/>
      <c r="M13" s="52"/>
      <c r="N13" s="52"/>
      <c r="O13" s="52"/>
      <c r="P13" s="52"/>
      <c r="Q13" s="345"/>
      <c r="R13" s="345"/>
      <c r="S13" s="345"/>
      <c r="T13" s="345"/>
      <c r="U13" s="345"/>
      <c r="V13" s="345"/>
      <c r="W13" s="345"/>
      <c r="X13" s="345"/>
      <c r="Y13" s="345"/>
      <c r="Z13" s="345"/>
      <c r="AA13" s="223"/>
      <c r="AB13" s="345"/>
      <c r="AC13" s="345"/>
      <c r="AD13" s="345"/>
      <c r="AE13" s="345"/>
      <c r="AF13" s="345"/>
      <c r="AG13" s="345"/>
      <c r="AH13" s="440"/>
      <c r="AI13" s="440"/>
      <c r="AJ13" s="223"/>
    </row>
    <row r="14" spans="1:36" ht="15" customHeight="1" x14ac:dyDescent="0.25">
      <c r="A14" s="121"/>
      <c r="B14" s="7" t="s">
        <v>197</v>
      </c>
      <c r="C14" s="7"/>
      <c r="D14" s="7"/>
      <c r="E14" s="7"/>
      <c r="F14" s="7"/>
      <c r="G14" s="7"/>
      <c r="H14" s="7"/>
      <c r="I14" s="7"/>
      <c r="J14" s="7"/>
      <c r="K14" s="7"/>
      <c r="L14" s="7"/>
      <c r="M14" s="7"/>
      <c r="N14" s="7"/>
      <c r="O14" s="7"/>
      <c r="P14" s="7"/>
      <c r="Q14" s="344" t="s">
        <v>17</v>
      </c>
      <c r="R14" s="344" t="s">
        <v>17</v>
      </c>
      <c r="S14" s="344" t="s">
        <v>17</v>
      </c>
      <c r="T14" s="344" t="s">
        <v>17</v>
      </c>
      <c r="U14" s="345">
        <v>996309.26503328874</v>
      </c>
      <c r="V14" s="345">
        <v>11944.011622</v>
      </c>
      <c r="W14" s="345">
        <v>14527.151698</v>
      </c>
      <c r="X14" s="345" vm="47">
        <v>11274.688862999999</v>
      </c>
      <c r="Y14" s="345" vm="342">
        <f>AE14</f>
        <v>5659.1358319999999</v>
      </c>
      <c r="Z14" s="345"/>
      <c r="AA14" s="223"/>
      <c r="AB14" s="345" vm="209">
        <v>1194.1183880000001</v>
      </c>
      <c r="AC14" s="345" vm="196">
        <v>2627.9247949999999</v>
      </c>
      <c r="AD14" s="345" vm="223">
        <v>4212.9208179999996</v>
      </c>
      <c r="AE14" s="345" vm="342">
        <v>5659.1358319999999</v>
      </c>
      <c r="AF14" s="345" vm="498">
        <v>637.39411299999995</v>
      </c>
      <c r="AG14" s="345"/>
      <c r="AH14" s="440"/>
      <c r="AI14" s="440"/>
      <c r="AJ14" s="223"/>
    </row>
    <row r="15" spans="1:36" ht="15" customHeight="1" x14ac:dyDescent="0.25">
      <c r="A15" s="121"/>
      <c r="B15" s="7" t="s">
        <v>198</v>
      </c>
      <c r="C15" s="7"/>
      <c r="D15" s="7"/>
      <c r="E15" s="7"/>
      <c r="F15" s="7"/>
      <c r="G15" s="7"/>
      <c r="H15" s="7"/>
      <c r="I15" s="7"/>
      <c r="J15" s="7"/>
      <c r="K15" s="7"/>
      <c r="L15" s="7"/>
      <c r="M15" s="7"/>
      <c r="N15" s="7"/>
      <c r="O15" s="7"/>
      <c r="P15" s="7"/>
      <c r="Q15" s="344" t="s">
        <v>17</v>
      </c>
      <c r="R15" s="344" t="s">
        <v>17</v>
      </c>
      <c r="S15" s="344" t="s">
        <v>17</v>
      </c>
      <c r="T15" s="344" t="s">
        <v>17</v>
      </c>
      <c r="U15" s="345">
        <v>21736.375339955441</v>
      </c>
      <c r="V15" s="345">
        <v>10252.102870999999</v>
      </c>
      <c r="W15" s="345">
        <v>13045.082797999999</v>
      </c>
      <c r="X15" s="345" vm="48">
        <v>9963.7876620000006</v>
      </c>
      <c r="Y15" s="345" vm="343">
        <f>AE15</f>
        <v>4090.5504940000001</v>
      </c>
      <c r="Z15" s="345"/>
      <c r="AA15" s="223"/>
      <c r="AB15" s="345" vm="172">
        <v>1138.2802879999999</v>
      </c>
      <c r="AC15" s="345" vm="164">
        <v>1818.954178</v>
      </c>
      <c r="AD15" s="345" vm="247">
        <v>2979.5131139999999</v>
      </c>
      <c r="AE15" s="345" vm="343">
        <v>4090.5504940000001</v>
      </c>
      <c r="AF15" s="345" vm="499">
        <v>467.27834799999999</v>
      </c>
      <c r="AG15" s="345"/>
      <c r="AH15" s="440"/>
      <c r="AI15" s="440"/>
      <c r="AJ15" s="223"/>
    </row>
    <row r="16" spans="1:36" ht="15" customHeight="1" x14ac:dyDescent="0.25">
      <c r="A16" s="121"/>
      <c r="B16" s="49" t="s">
        <v>199</v>
      </c>
      <c r="C16" s="49"/>
      <c r="D16" s="49"/>
      <c r="E16" s="49"/>
      <c r="F16" s="49"/>
      <c r="G16" s="49"/>
      <c r="H16" s="49"/>
      <c r="I16" s="49"/>
      <c r="J16" s="49"/>
      <c r="K16" s="49"/>
      <c r="L16" s="49"/>
      <c r="M16" s="49"/>
      <c r="N16" s="49"/>
      <c r="O16" s="49"/>
      <c r="P16" s="49"/>
      <c r="Q16" s="345"/>
      <c r="R16" s="345"/>
      <c r="S16" s="345"/>
      <c r="T16" s="345"/>
      <c r="U16" s="345"/>
      <c r="V16" s="345"/>
      <c r="W16" s="345"/>
      <c r="X16" s="345"/>
      <c r="Y16" s="345"/>
      <c r="Z16" s="345"/>
      <c r="AA16" s="223"/>
      <c r="AB16" s="345"/>
      <c r="AC16" s="345"/>
      <c r="AD16" s="345"/>
      <c r="AE16" s="345"/>
      <c r="AF16" s="345"/>
      <c r="AG16" s="345"/>
      <c r="AH16" s="440"/>
      <c r="AI16" s="440"/>
      <c r="AJ16" s="223"/>
    </row>
    <row r="17" spans="1:36" ht="15" customHeight="1" x14ac:dyDescent="0.25">
      <c r="A17" s="121"/>
      <c r="B17" s="53" t="s">
        <v>200</v>
      </c>
      <c r="C17" s="53"/>
      <c r="D17" s="53"/>
      <c r="E17" s="53"/>
      <c r="F17" s="53"/>
      <c r="G17" s="53"/>
      <c r="H17" s="53"/>
      <c r="I17" s="53"/>
      <c r="J17" s="53"/>
      <c r="K17" s="53"/>
      <c r="L17" s="53"/>
      <c r="M17" s="53"/>
      <c r="N17" s="53"/>
      <c r="O17" s="53"/>
      <c r="P17" s="53"/>
      <c r="Q17" s="344" t="s">
        <v>17</v>
      </c>
      <c r="R17" s="344" t="s">
        <v>17</v>
      </c>
      <c r="S17" s="344" t="s">
        <v>17</v>
      </c>
      <c r="T17" s="344" t="s">
        <v>17</v>
      </c>
      <c r="U17" s="344" t="s">
        <v>17</v>
      </c>
      <c r="V17" s="345">
        <v>174593.531074</v>
      </c>
      <c r="W17" s="345">
        <v>244904.56630000001</v>
      </c>
      <c r="X17" s="345">
        <v>383634.397</v>
      </c>
      <c r="Y17" s="344" vm="344">
        <f>AE17</f>
        <v>238590.7262</v>
      </c>
      <c r="Z17" s="344"/>
      <c r="AA17" s="223"/>
      <c r="AB17" s="345" vm="459">
        <v>60303.626400000001</v>
      </c>
      <c r="AC17" s="345" vm="182">
        <v>109693.19070000001</v>
      </c>
      <c r="AD17" s="345" vm="248">
        <v>176575.53200000001</v>
      </c>
      <c r="AE17" s="345" vm="344">
        <v>238590.7262</v>
      </c>
      <c r="AF17" s="345" vm="500">
        <v>12698.8523</v>
      </c>
      <c r="AG17" s="345"/>
      <c r="AH17" s="440"/>
      <c r="AI17" s="440"/>
      <c r="AJ17" s="223"/>
    </row>
    <row r="18" spans="1:36" ht="15" customHeight="1" x14ac:dyDescent="0.25">
      <c r="A18" s="121"/>
      <c r="B18" s="53" t="s">
        <v>201</v>
      </c>
      <c r="C18" s="53"/>
      <c r="D18" s="53"/>
      <c r="E18" s="53"/>
      <c r="F18" s="53"/>
      <c r="G18" s="53"/>
      <c r="H18" s="53"/>
      <c r="I18" s="53"/>
      <c r="J18" s="53"/>
      <c r="K18" s="53"/>
      <c r="L18" s="53"/>
      <c r="M18" s="53"/>
      <c r="N18" s="53"/>
      <c r="O18" s="53"/>
      <c r="P18" s="53"/>
      <c r="Q18" s="344" t="s">
        <v>17</v>
      </c>
      <c r="R18" s="344" t="s">
        <v>17</v>
      </c>
      <c r="S18" s="344" t="s">
        <v>17</v>
      </c>
      <c r="T18" s="344" t="s">
        <v>17</v>
      </c>
      <c r="U18" s="344" t="s">
        <v>17</v>
      </c>
      <c r="V18" s="345">
        <v>18774.490000000002</v>
      </c>
      <c r="W18" s="345">
        <v>28843.0933</v>
      </c>
      <c r="X18" s="345" vm="32">
        <v>335156.65710000001</v>
      </c>
      <c r="Y18" s="344" vm="345">
        <f>AE18</f>
        <v>6921.1795000000002</v>
      </c>
      <c r="Z18" s="344"/>
      <c r="AA18" s="223"/>
      <c r="AB18" s="345" vm="461">
        <v>3189.7757000000001</v>
      </c>
      <c r="AC18" s="440" vm="197">
        <v>1735.65</v>
      </c>
      <c r="AD18" s="345" vm="244">
        <v>4910.7559000000001</v>
      </c>
      <c r="AE18" s="345" vm="345">
        <v>6921.1795000000002</v>
      </c>
      <c r="AF18" s="345" vm="501">
        <v>952.77689999999996</v>
      </c>
      <c r="AG18" s="345"/>
      <c r="AH18" s="440"/>
      <c r="AI18" s="440"/>
      <c r="AJ18" s="223"/>
    </row>
    <row r="19" spans="1:36" s="190" customFormat="1" ht="15" customHeight="1" x14ac:dyDescent="0.25">
      <c r="A19" s="188"/>
      <c r="B19" s="189" t="s">
        <v>307</v>
      </c>
      <c r="C19" s="189"/>
      <c r="D19" s="189"/>
      <c r="E19" s="189"/>
      <c r="F19" s="189"/>
      <c r="G19" s="189"/>
      <c r="H19" s="189"/>
      <c r="I19" s="189"/>
      <c r="J19" s="189"/>
      <c r="K19" s="189"/>
      <c r="L19" s="189"/>
      <c r="M19" s="189"/>
      <c r="N19" s="189"/>
      <c r="O19" s="189"/>
      <c r="P19" s="189"/>
      <c r="Q19" s="398" t="s">
        <v>17</v>
      </c>
      <c r="R19" s="398" t="s">
        <v>17</v>
      </c>
      <c r="S19" s="398" t="s">
        <v>17</v>
      </c>
      <c r="T19" s="398" t="s">
        <v>17</v>
      </c>
      <c r="U19" s="365">
        <v>0.95923028417603262</v>
      </c>
      <c r="V19" s="399">
        <v>0.92183599999999999</v>
      </c>
      <c r="W19" s="399">
        <v>0.86858999999999997</v>
      </c>
      <c r="X19" s="399" vm="49">
        <v>0.94581800000000005</v>
      </c>
      <c r="Y19" s="505" vm="346">
        <f>AE19</f>
        <v>0.96449600000000002</v>
      </c>
      <c r="Z19" s="365"/>
      <c r="AA19" s="292"/>
      <c r="AB19" s="505" vm="460">
        <v>0.871645</v>
      </c>
      <c r="AC19" s="505" vm="198">
        <v>0.96135899999999996</v>
      </c>
      <c r="AD19" s="505" vm="221">
        <v>0.96607600000000005</v>
      </c>
      <c r="AE19" s="505" vm="346">
        <v>0.96449600000000002</v>
      </c>
      <c r="AF19" s="505" vm="502">
        <v>0.93793800000000005</v>
      </c>
      <c r="AG19" s="505"/>
      <c r="AH19" s="399"/>
      <c r="AI19" s="399"/>
      <c r="AJ19" s="292"/>
    </row>
    <row r="20" spans="1:36" ht="15" customHeight="1" x14ac:dyDescent="0.25">
      <c r="A20" s="121"/>
      <c r="B20" s="52" t="s">
        <v>311</v>
      </c>
      <c r="C20" s="52"/>
      <c r="D20" s="52"/>
      <c r="E20" s="52"/>
      <c r="F20" s="52"/>
      <c r="G20" s="52"/>
      <c r="H20" s="52"/>
      <c r="I20" s="52"/>
      <c r="J20" s="52"/>
      <c r="K20" s="52"/>
      <c r="L20" s="52"/>
      <c r="M20" s="52"/>
      <c r="N20" s="52"/>
      <c r="O20" s="52"/>
      <c r="P20" s="52"/>
      <c r="Q20" s="345"/>
      <c r="R20" s="345"/>
      <c r="S20" s="345"/>
      <c r="T20" s="345"/>
      <c r="U20" s="345"/>
      <c r="V20" s="345"/>
      <c r="W20" s="345"/>
      <c r="X20" s="345"/>
      <c r="Y20" s="345"/>
      <c r="Z20" s="345"/>
      <c r="AA20" s="223"/>
      <c r="AB20" s="345"/>
      <c r="AC20" s="345"/>
      <c r="AD20" s="345"/>
      <c r="AE20" s="345"/>
      <c r="AF20" s="345"/>
      <c r="AG20" s="345"/>
      <c r="AH20" s="440"/>
      <c r="AI20" s="440"/>
      <c r="AJ20" s="223"/>
    </row>
    <row r="21" spans="1:36" ht="15" customHeight="1" x14ac:dyDescent="0.25">
      <c r="A21" s="121"/>
      <c r="B21" s="53" t="s">
        <v>308</v>
      </c>
      <c r="C21" s="53"/>
      <c r="D21" s="53"/>
      <c r="E21" s="53"/>
      <c r="F21" s="53"/>
      <c r="G21" s="53"/>
      <c r="H21" s="53"/>
      <c r="I21" s="53"/>
      <c r="J21" s="53"/>
      <c r="K21" s="53"/>
      <c r="L21" s="53"/>
      <c r="M21" s="53"/>
      <c r="N21" s="53"/>
      <c r="O21" s="53"/>
      <c r="P21" s="53"/>
      <c r="Q21" s="345">
        <v>53.901000000000003</v>
      </c>
      <c r="R21" s="345">
        <v>179.18700000000001</v>
      </c>
      <c r="S21" s="345">
        <v>179.892</v>
      </c>
      <c r="T21" s="345">
        <v>68.986999999999995</v>
      </c>
      <c r="U21" s="345">
        <v>88.316999999999993</v>
      </c>
      <c r="V21" s="345">
        <v>66.990165996701393</v>
      </c>
      <c r="W21" s="345">
        <v>88.222969976973417</v>
      </c>
      <c r="X21" s="345">
        <v>0</v>
      </c>
      <c r="Y21" s="345">
        <f>AE21</f>
        <v>107.06900328316031</v>
      </c>
      <c r="Z21" s="345"/>
      <c r="AA21" s="345"/>
      <c r="AB21" s="345">
        <v>28.184832426523336</v>
      </c>
      <c r="AC21" s="345">
        <v>56.139184941390809</v>
      </c>
      <c r="AD21" s="345">
        <v>80.324651875398146</v>
      </c>
      <c r="AE21" s="345">
        <v>107.06900328316031</v>
      </c>
      <c r="AF21" s="345">
        <v>43.649098500611409</v>
      </c>
      <c r="AG21" s="345"/>
      <c r="AH21" s="440"/>
      <c r="AI21" s="440"/>
      <c r="AJ21" s="223"/>
    </row>
    <row r="22" spans="1:36" ht="15" customHeight="1" x14ac:dyDescent="0.25">
      <c r="A22" s="121"/>
      <c r="B22" s="53" t="s">
        <v>309</v>
      </c>
      <c r="C22" s="53"/>
      <c r="D22" s="53"/>
      <c r="E22" s="53"/>
      <c r="F22" s="53"/>
      <c r="G22" s="53"/>
      <c r="H22" s="53"/>
      <c r="I22" s="53"/>
      <c r="J22" s="53"/>
      <c r="K22" s="53"/>
      <c r="L22" s="53"/>
      <c r="M22" s="53"/>
      <c r="N22" s="53"/>
      <c r="O22" s="53"/>
      <c r="P22" s="53"/>
      <c r="Q22" s="345">
        <v>50.719000000000001</v>
      </c>
      <c r="R22" s="345">
        <v>61.683</v>
      </c>
      <c r="S22" s="345">
        <v>57.000999999999998</v>
      </c>
      <c r="T22" s="345">
        <v>195.495</v>
      </c>
      <c r="U22" s="345">
        <v>265.88</v>
      </c>
      <c r="V22" s="345">
        <v>242.06899999999999</v>
      </c>
      <c r="W22" s="345">
        <v>334.21484082105491</v>
      </c>
      <c r="X22" s="345">
        <v>105.48991152808892</v>
      </c>
      <c r="Y22" s="345">
        <f>AE22</f>
        <v>417.95085872369521</v>
      </c>
      <c r="Z22" s="345"/>
      <c r="AA22" s="345"/>
      <c r="AB22" s="345">
        <v>113.26998328571575</v>
      </c>
      <c r="AC22" s="345">
        <v>276.34417537664257</v>
      </c>
      <c r="AD22" s="345">
        <v>331.48640468531681</v>
      </c>
      <c r="AE22" s="345">
        <v>417.95085872369521</v>
      </c>
      <c r="AF22" s="345">
        <v>27.821766632099287</v>
      </c>
      <c r="AG22" s="345"/>
      <c r="AH22" s="440"/>
      <c r="AI22" s="440"/>
      <c r="AJ22" s="223"/>
    </row>
    <row r="23" spans="1:36" ht="15" customHeight="1" x14ac:dyDescent="0.25">
      <c r="A23" s="121"/>
      <c r="B23" s="54" t="s">
        <v>310</v>
      </c>
      <c r="C23" s="54"/>
      <c r="D23" s="54"/>
      <c r="E23" s="54"/>
      <c r="F23" s="54"/>
      <c r="G23" s="54"/>
      <c r="H23" s="54"/>
      <c r="I23" s="54"/>
      <c r="J23" s="54"/>
      <c r="K23" s="54"/>
      <c r="L23" s="54"/>
      <c r="M23" s="54"/>
      <c r="N23" s="54"/>
      <c r="O23" s="54"/>
      <c r="P23" s="54"/>
      <c r="Q23" s="345">
        <v>34.555</v>
      </c>
      <c r="R23" s="345">
        <v>29.297000000000001</v>
      </c>
      <c r="S23" s="345">
        <v>18.847999999999999</v>
      </c>
      <c r="T23" s="345">
        <v>3.3889999999999998</v>
      </c>
      <c r="U23" s="345">
        <v>4</v>
      </c>
      <c r="V23" s="345">
        <v>11</v>
      </c>
      <c r="W23" s="345">
        <v>25.249680000000001</v>
      </c>
      <c r="X23" s="345">
        <v>1006.0551440999524</v>
      </c>
      <c r="Y23" s="345">
        <f>AE23</f>
        <v>62.555</v>
      </c>
      <c r="Z23" s="345"/>
      <c r="AA23" s="253"/>
      <c r="AB23" s="345" vm="462">
        <v>0.06</v>
      </c>
      <c r="AC23" s="345">
        <v>1.06</v>
      </c>
      <c r="AD23" s="345">
        <v>1.06</v>
      </c>
      <c r="AE23" s="345">
        <v>62.555</v>
      </c>
      <c r="AF23" s="345" vm="503">
        <v>0</v>
      </c>
      <c r="AG23" s="345"/>
      <c r="AH23" s="489"/>
      <c r="AI23" s="489"/>
      <c r="AJ23" s="223"/>
    </row>
    <row r="24" spans="1:36" ht="15" customHeight="1" x14ac:dyDescent="0.25">
      <c r="A24" s="121"/>
      <c r="B24" s="42"/>
      <c r="C24" s="42"/>
      <c r="D24" s="42"/>
      <c r="E24" s="42"/>
      <c r="F24" s="42"/>
      <c r="G24" s="42"/>
      <c r="H24" s="42"/>
      <c r="I24" s="42"/>
      <c r="J24" s="42"/>
      <c r="K24" s="42"/>
      <c r="L24" s="42"/>
      <c r="M24" s="42"/>
      <c r="N24" s="42"/>
      <c r="O24" s="42"/>
      <c r="P24" s="42"/>
      <c r="Q24" s="223"/>
      <c r="R24" s="223"/>
      <c r="S24" s="223"/>
      <c r="T24" s="223"/>
      <c r="U24" s="223"/>
      <c r="V24" s="223"/>
      <c r="W24" s="223"/>
      <c r="X24" s="223"/>
      <c r="Y24" s="223"/>
      <c r="Z24" s="223"/>
      <c r="AA24" s="223"/>
      <c r="AB24" s="223"/>
      <c r="AC24" s="223"/>
      <c r="AD24" s="223"/>
      <c r="AF24" s="223"/>
      <c r="AG24" s="223"/>
      <c r="AH24" s="223"/>
      <c r="AI24" s="223"/>
      <c r="AJ24" s="223"/>
    </row>
    <row r="25" spans="1:36" ht="15" customHeight="1" x14ac:dyDescent="0.25">
      <c r="A25" s="121"/>
      <c r="B25" s="177" t="s">
        <v>202</v>
      </c>
      <c r="C25" s="177"/>
      <c r="D25" s="177"/>
      <c r="E25" s="177"/>
      <c r="F25" s="177"/>
      <c r="G25" s="177"/>
      <c r="H25" s="177"/>
      <c r="I25" s="177"/>
      <c r="J25" s="177"/>
      <c r="K25" s="177"/>
      <c r="L25" s="177"/>
      <c r="M25" s="177"/>
      <c r="N25" s="177"/>
      <c r="O25" s="177"/>
      <c r="P25" s="177"/>
      <c r="Q25" s="228">
        <v>2015</v>
      </c>
      <c r="R25" s="228">
        <v>2016</v>
      </c>
      <c r="S25" s="228">
        <v>2017</v>
      </c>
      <c r="T25" s="228">
        <v>2018</v>
      </c>
      <c r="U25" s="228">
        <v>2019</v>
      </c>
      <c r="V25" s="228">
        <v>2020</v>
      </c>
      <c r="W25" s="228">
        <v>2021</v>
      </c>
      <c r="X25" s="228">
        <v>2022</v>
      </c>
      <c r="Y25" s="229">
        <v>2023</v>
      </c>
      <c r="Z25" s="230">
        <v>2024</v>
      </c>
      <c r="AA25" s="223"/>
      <c r="AB25" s="397" t="s">
        <v>291</v>
      </c>
      <c r="AC25" s="397" t="s">
        <v>292</v>
      </c>
      <c r="AD25" s="397" t="s">
        <v>293</v>
      </c>
      <c r="AE25" s="397">
        <v>2023</v>
      </c>
      <c r="AF25" s="232" t="s">
        <v>318</v>
      </c>
      <c r="AG25" s="232" t="s">
        <v>319</v>
      </c>
      <c r="AH25" s="232" t="s">
        <v>320</v>
      </c>
      <c r="AI25" s="232">
        <v>2024</v>
      </c>
      <c r="AJ25" s="223"/>
    </row>
    <row r="26" spans="1:36" ht="15" customHeight="1" x14ac:dyDescent="0.25">
      <c r="A26" s="121"/>
      <c r="B26" s="52" t="s">
        <v>203</v>
      </c>
      <c r="C26" s="52"/>
      <c r="D26" s="52"/>
      <c r="E26" s="52"/>
      <c r="F26" s="52"/>
      <c r="G26" s="52"/>
      <c r="H26" s="52"/>
      <c r="I26" s="52"/>
      <c r="J26" s="52"/>
      <c r="K26" s="52"/>
      <c r="L26" s="52"/>
      <c r="M26" s="52"/>
      <c r="N26" s="52"/>
      <c r="O26" s="52"/>
      <c r="P26" s="52"/>
      <c r="Q26" s="223"/>
      <c r="R26" s="223"/>
      <c r="S26" s="223"/>
      <c r="T26" s="223"/>
      <c r="U26" s="223"/>
      <c r="V26" s="223"/>
      <c r="W26" s="223"/>
      <c r="X26" s="223"/>
      <c r="Y26" s="223"/>
      <c r="Z26" s="223"/>
      <c r="AA26" s="223"/>
      <c r="AB26" s="223"/>
      <c r="AC26" s="223"/>
      <c r="AD26" s="223"/>
      <c r="AE26" s="223"/>
      <c r="AJ26" s="223"/>
    </row>
    <row r="27" spans="1:36" ht="15" customHeight="1" x14ac:dyDescent="0.25">
      <c r="A27" s="121"/>
      <c r="B27" s="53" t="s">
        <v>204</v>
      </c>
      <c r="C27" s="53"/>
      <c r="D27" s="53"/>
      <c r="E27" s="53"/>
      <c r="F27" s="53"/>
      <c r="G27" s="53"/>
      <c r="H27" s="53"/>
      <c r="I27" s="53"/>
      <c r="J27" s="53"/>
      <c r="K27" s="53"/>
      <c r="L27" s="53"/>
      <c r="M27" s="53"/>
      <c r="N27" s="53"/>
      <c r="O27" s="53"/>
      <c r="P27" s="53"/>
      <c r="Q27" s="344" t="s">
        <v>17</v>
      </c>
      <c r="R27" s="344" t="s">
        <v>17</v>
      </c>
      <c r="S27" s="344" t="s">
        <v>17</v>
      </c>
      <c r="T27" s="305">
        <v>7.5135135135135131E-2</v>
      </c>
      <c r="U27" s="305">
        <v>0.09</v>
      </c>
      <c r="V27" s="305">
        <v>0.11</v>
      </c>
      <c r="W27" s="305">
        <v>0.13200000000000001</v>
      </c>
      <c r="X27" s="305" vm="40">
        <v>0.14559800000000001</v>
      </c>
      <c r="Y27" s="305" vm="368">
        <f>AE27</f>
        <v>0.29348600000000002</v>
      </c>
      <c r="Z27" s="305"/>
      <c r="AA27" s="223"/>
      <c r="AB27" s="305" vm="130">
        <v>0.14559800000000001</v>
      </c>
      <c r="AC27" s="305" vm="176">
        <v>0.25979999999999998</v>
      </c>
      <c r="AD27" s="305" vm="176">
        <v>0.25979999999999998</v>
      </c>
      <c r="AE27" s="305" vm="368">
        <v>0.29348600000000002</v>
      </c>
      <c r="AF27" s="305">
        <v>0.30452769000000002</v>
      </c>
      <c r="AG27" s="482"/>
      <c r="AH27" s="482"/>
      <c r="AI27" s="482"/>
      <c r="AJ27" s="223"/>
    </row>
    <row r="28" spans="1:36" ht="15" customHeight="1" x14ac:dyDescent="0.25">
      <c r="A28" s="121"/>
      <c r="B28" s="54" t="s">
        <v>205</v>
      </c>
      <c r="C28" s="54"/>
      <c r="D28" s="54"/>
      <c r="E28" s="54"/>
      <c r="F28" s="54"/>
      <c r="G28" s="54"/>
      <c r="H28" s="54"/>
      <c r="I28" s="54"/>
      <c r="J28" s="54"/>
      <c r="K28" s="54"/>
      <c r="L28" s="54"/>
      <c r="M28" s="54"/>
      <c r="N28" s="54"/>
      <c r="O28" s="54"/>
      <c r="P28" s="54"/>
      <c r="Q28" s="344" t="s">
        <v>17</v>
      </c>
      <c r="R28" s="344" t="s">
        <v>17</v>
      </c>
      <c r="S28" s="344" t="s">
        <v>17</v>
      </c>
      <c r="T28" s="345">
        <v>385</v>
      </c>
      <c r="U28" s="345">
        <v>772</v>
      </c>
      <c r="V28" s="345">
        <v>1811</v>
      </c>
      <c r="W28" s="345">
        <v>3804</v>
      </c>
      <c r="X28" s="345" vm="41">
        <v>6010</v>
      </c>
      <c r="Y28" s="345" vm="369">
        <f>AE28</f>
        <v>8510</v>
      </c>
      <c r="Z28" s="345"/>
      <c r="AA28" s="223"/>
      <c r="AB28" s="345" vm="457">
        <v>6154</v>
      </c>
      <c r="AC28" s="345" vm="177">
        <v>6440</v>
      </c>
      <c r="AD28" s="345" vm="177">
        <v>6440</v>
      </c>
      <c r="AE28" s="345" vm="369">
        <v>8510</v>
      </c>
      <c r="AF28" s="345" vm="504">
        <v>9883</v>
      </c>
      <c r="AG28" s="440"/>
      <c r="AH28" s="440"/>
      <c r="AI28" s="440"/>
      <c r="AJ28" s="223"/>
    </row>
    <row r="29" spans="1:36" ht="15" customHeight="1" x14ac:dyDescent="0.25">
      <c r="A29" s="121"/>
      <c r="B29" s="54" t="s">
        <v>312</v>
      </c>
      <c r="C29" s="54"/>
      <c r="D29" s="54"/>
      <c r="E29" s="54"/>
      <c r="F29" s="54"/>
      <c r="G29" s="54"/>
      <c r="H29" s="54"/>
      <c r="I29" s="54"/>
      <c r="J29" s="54"/>
      <c r="K29" s="54"/>
      <c r="L29" s="54"/>
      <c r="M29" s="54"/>
      <c r="N29" s="54"/>
      <c r="O29" s="54"/>
      <c r="P29" s="54"/>
      <c r="Q29" s="344" t="s">
        <v>17</v>
      </c>
      <c r="R29" s="344" t="s">
        <v>17</v>
      </c>
      <c r="S29" s="344" t="s">
        <v>17</v>
      </c>
      <c r="T29" s="345">
        <v>5546</v>
      </c>
      <c r="U29" s="345">
        <v>10100</v>
      </c>
      <c r="V29" s="345">
        <v>18747</v>
      </c>
      <c r="W29" s="345">
        <v>43500</v>
      </c>
      <c r="X29" s="345" vm="42">
        <v>76455</v>
      </c>
      <c r="Y29" s="345" vm="370">
        <f>AE29</f>
        <v>106991</v>
      </c>
      <c r="Z29" s="345"/>
      <c r="AA29" s="223"/>
      <c r="AB29" s="345" vm="441">
        <v>84167</v>
      </c>
      <c r="AC29" s="345" vm="178">
        <v>88396</v>
      </c>
      <c r="AD29" s="345" vm="178">
        <v>88396</v>
      </c>
      <c r="AE29" s="345" vm="370">
        <v>106991</v>
      </c>
      <c r="AF29" s="345" vm="505">
        <v>116750</v>
      </c>
      <c r="AG29" s="440"/>
      <c r="AH29" s="440"/>
      <c r="AI29" s="440"/>
      <c r="AJ29" s="223"/>
    </row>
    <row r="30" spans="1:36" ht="15" customHeight="1" x14ac:dyDescent="0.25">
      <c r="A30" s="121"/>
      <c r="B30" s="52" t="s">
        <v>206</v>
      </c>
      <c r="C30" s="52"/>
      <c r="D30" s="52"/>
      <c r="E30" s="52"/>
      <c r="F30" s="52"/>
      <c r="G30" s="52"/>
      <c r="H30" s="52"/>
      <c r="I30" s="52"/>
      <c r="J30" s="52"/>
      <c r="K30" s="52"/>
      <c r="L30" s="52"/>
      <c r="M30" s="52"/>
      <c r="N30" s="52"/>
      <c r="O30" s="52"/>
      <c r="P30" s="52"/>
      <c r="Q30" s="223"/>
      <c r="R30" s="223"/>
      <c r="S30" s="223"/>
      <c r="T30" s="223"/>
      <c r="U30" s="223"/>
      <c r="V30" s="223"/>
      <c r="W30" s="223"/>
      <c r="X30" s="223"/>
      <c r="Y30" s="223"/>
      <c r="Z30" s="223"/>
      <c r="AA30" s="223"/>
      <c r="AB30" s="223"/>
      <c r="AC30" s="223"/>
      <c r="AD30" s="223"/>
      <c r="AE30" s="223"/>
      <c r="AF30" s="223"/>
      <c r="AG30" s="333"/>
      <c r="AH30" s="333"/>
      <c r="AI30" s="333"/>
      <c r="AJ30" s="223"/>
    </row>
    <row r="31" spans="1:36" ht="15" customHeight="1" x14ac:dyDescent="0.25">
      <c r="A31" s="121"/>
      <c r="B31" s="54" t="s">
        <v>268</v>
      </c>
      <c r="C31" s="52"/>
      <c r="D31" s="52"/>
      <c r="E31" s="52"/>
      <c r="F31" s="52"/>
      <c r="G31" s="52"/>
      <c r="H31" s="52"/>
      <c r="I31" s="52"/>
      <c r="J31" s="52"/>
      <c r="K31" s="52"/>
      <c r="L31" s="52"/>
      <c r="M31" s="52"/>
      <c r="N31" s="52"/>
      <c r="O31" s="52"/>
      <c r="P31" s="52"/>
      <c r="Q31" s="422" t="s">
        <v>17</v>
      </c>
      <c r="R31" s="422" t="s">
        <v>17</v>
      </c>
      <c r="S31" s="422" t="s">
        <v>17</v>
      </c>
      <c r="T31" s="422" t="s">
        <v>17</v>
      </c>
      <c r="U31" s="422" t="s">
        <v>17</v>
      </c>
      <c r="V31" s="235">
        <v>4.5770520000000001</v>
      </c>
      <c r="W31" s="235">
        <f>P31</f>
        <v>0</v>
      </c>
      <c r="X31" s="235">
        <v>5.967085</v>
      </c>
      <c r="Y31" s="235">
        <f>AE31</f>
        <v>6.9999739999999999</v>
      </c>
      <c r="Z31" s="235"/>
      <c r="AA31" s="235"/>
      <c r="AB31" s="235">
        <v>6.2303249999999997</v>
      </c>
      <c r="AC31" s="235">
        <v>6.4889419999999998</v>
      </c>
      <c r="AD31" s="235">
        <v>6.7459590000000009</v>
      </c>
      <c r="AE31" s="235">
        <v>6.9999739999999999</v>
      </c>
      <c r="AF31" s="235">
        <v>7.2586960000000005</v>
      </c>
      <c r="AG31" s="405"/>
      <c r="AH31" s="405"/>
      <c r="AI31" s="405"/>
      <c r="AJ31" s="223"/>
    </row>
    <row r="32" spans="1:36" ht="15" customHeight="1" x14ac:dyDescent="0.25">
      <c r="A32" s="121"/>
      <c r="B32" s="54" t="s">
        <v>269</v>
      </c>
      <c r="C32" s="52"/>
      <c r="D32" s="52"/>
      <c r="E32" s="52"/>
      <c r="F32" s="52"/>
      <c r="G32" s="52"/>
      <c r="H32" s="52"/>
      <c r="I32" s="52"/>
      <c r="J32" s="52"/>
      <c r="K32" s="52"/>
      <c r="L32" s="52"/>
      <c r="M32" s="52"/>
      <c r="N32" s="52"/>
      <c r="O32" s="52"/>
      <c r="P32" s="52"/>
      <c r="Q32" s="422" t="s">
        <v>17</v>
      </c>
      <c r="R32" s="422" t="s">
        <v>17</v>
      </c>
      <c r="S32" s="422" t="s">
        <v>17</v>
      </c>
      <c r="T32" s="422" t="s">
        <v>17</v>
      </c>
      <c r="U32" s="422" t="s">
        <v>17</v>
      </c>
      <c r="V32" s="235">
        <v>0.16736599999999999</v>
      </c>
      <c r="W32" s="235">
        <f>P32</f>
        <v>0</v>
      </c>
      <c r="X32" s="235">
        <v>4.5939399999999999</v>
      </c>
      <c r="Y32" s="235">
        <f>AE32</f>
        <v>0.57626599999999994</v>
      </c>
      <c r="Z32" s="235"/>
      <c r="AA32" s="235"/>
      <c r="AB32" s="235">
        <v>0.48687900000000001</v>
      </c>
      <c r="AC32" s="235">
        <v>0.515069</v>
      </c>
      <c r="AD32" s="235">
        <v>0.55052400000000001</v>
      </c>
      <c r="AE32" s="235">
        <v>0.57626599999999994</v>
      </c>
      <c r="AF32" s="235">
        <v>0.48687900000000001</v>
      </c>
      <c r="AG32" s="405"/>
      <c r="AH32" s="405"/>
      <c r="AI32" s="405"/>
      <c r="AJ32" s="223"/>
    </row>
    <row r="33" spans="1:37" ht="15" customHeight="1" x14ac:dyDescent="0.25">
      <c r="A33" s="121"/>
      <c r="B33" s="53" t="s">
        <v>207</v>
      </c>
      <c r="C33" s="53"/>
      <c r="D33" s="53"/>
      <c r="E33" s="53"/>
      <c r="F33" s="53"/>
      <c r="G33" s="53"/>
      <c r="H33" s="53"/>
      <c r="I33" s="53"/>
      <c r="J33" s="53"/>
      <c r="K33" s="53"/>
      <c r="L33" s="53"/>
      <c r="M33" s="53"/>
      <c r="N33" s="53"/>
      <c r="O33" s="53"/>
      <c r="P33" s="53"/>
      <c r="Q33" s="344" t="s">
        <v>17</v>
      </c>
      <c r="R33" s="344" t="s">
        <v>17</v>
      </c>
      <c r="S33" s="344" t="s">
        <v>17</v>
      </c>
      <c r="T33" s="304">
        <v>9.4446778215543509E-2</v>
      </c>
      <c r="U33" s="305">
        <v>7.3784785874340827E-2</v>
      </c>
      <c r="V33" s="305">
        <v>8.5256999999999999E-2</v>
      </c>
      <c r="W33" s="305">
        <v>8.5754999999999998E-2</v>
      </c>
      <c r="X33" s="305" vm="34">
        <v>9.8583000000000004E-2</v>
      </c>
      <c r="Y33" s="305" vm="348">
        <f>AE33</f>
        <v>0.122114</v>
      </c>
      <c r="Z33" s="305"/>
      <c r="AA33" s="223"/>
      <c r="AB33" s="305" vm="456">
        <v>8.3243999999999999E-2</v>
      </c>
      <c r="AC33" s="305" vm="199">
        <v>0.12887199999999999</v>
      </c>
      <c r="AD33" s="305" vm="232">
        <v>0.11759500000000001</v>
      </c>
      <c r="AE33" s="305" vm="348">
        <v>0.122114</v>
      </c>
      <c r="AF33" s="305" vm="506">
        <v>0.120162</v>
      </c>
      <c r="AG33" s="482"/>
      <c r="AH33" s="482"/>
      <c r="AI33" s="482"/>
      <c r="AJ33" s="223"/>
    </row>
    <row r="34" spans="1:37" ht="15" customHeight="1" x14ac:dyDescent="0.25">
      <c r="A34" s="121"/>
      <c r="B34" s="53" t="s">
        <v>313</v>
      </c>
      <c r="C34" s="53"/>
      <c r="D34" s="53"/>
      <c r="E34" s="53"/>
      <c r="F34" s="53"/>
      <c r="G34" s="53"/>
      <c r="H34" s="53"/>
      <c r="I34" s="53"/>
      <c r="J34" s="53"/>
      <c r="K34" s="53"/>
      <c r="L34" s="53"/>
      <c r="M34" s="53"/>
      <c r="N34" s="53"/>
      <c r="O34" s="53"/>
      <c r="P34" s="53"/>
      <c r="Q34" s="344" t="s">
        <v>17</v>
      </c>
      <c r="R34" s="344" t="s">
        <v>17</v>
      </c>
      <c r="S34" s="344" t="s">
        <v>17</v>
      </c>
      <c r="T34" s="344">
        <v>151468</v>
      </c>
      <c r="U34" s="345">
        <v>158376</v>
      </c>
      <c r="V34" s="345">
        <v>244573</v>
      </c>
      <c r="W34" s="345">
        <v>261415.29495421299</v>
      </c>
      <c r="X34" s="345">
        <v>491013.16745293903</v>
      </c>
      <c r="Y34" s="345">
        <f>AE34</f>
        <v>571161.84190772695</v>
      </c>
      <c r="Z34" s="345"/>
      <c r="AA34" s="223"/>
      <c r="AB34" s="440">
        <v>120684.121224442</v>
      </c>
      <c r="AC34" s="440">
        <v>245198.55616539202</v>
      </c>
      <c r="AD34" s="345">
        <v>400452.13122655597</v>
      </c>
      <c r="AE34" s="345">
        <v>571161.84190772695</v>
      </c>
      <c r="AF34" s="345">
        <v>220760.39931569202</v>
      </c>
      <c r="AG34" s="440"/>
      <c r="AH34" s="440"/>
      <c r="AI34" s="440"/>
      <c r="AJ34" s="223"/>
      <c r="AK34" s="1"/>
    </row>
    <row r="35" spans="1:37" ht="15" customHeight="1" x14ac:dyDescent="0.25">
      <c r="A35" s="121"/>
      <c r="B35" s="122" t="s">
        <v>208</v>
      </c>
      <c r="C35" s="122"/>
      <c r="D35" s="122"/>
      <c r="E35" s="122"/>
      <c r="F35" s="122"/>
      <c r="G35" s="122"/>
      <c r="H35" s="122"/>
      <c r="I35" s="122"/>
      <c r="J35" s="122"/>
      <c r="K35" s="122"/>
      <c r="L35" s="122"/>
      <c r="M35" s="122"/>
      <c r="N35" s="122"/>
      <c r="O35" s="122"/>
      <c r="P35" s="122"/>
      <c r="Q35" s="223"/>
      <c r="R35" s="223"/>
      <c r="S35" s="223"/>
      <c r="T35" s="223"/>
      <c r="U35" s="223"/>
      <c r="V35" s="223"/>
      <c r="W35" s="223"/>
      <c r="X35" s="223"/>
      <c r="Y35" s="223"/>
      <c r="Z35" s="223"/>
      <c r="AA35" s="223"/>
      <c r="AB35" s="223"/>
      <c r="AC35" s="223"/>
      <c r="AD35" s="223"/>
      <c r="AE35" s="223"/>
      <c r="AF35" s="223"/>
      <c r="AG35" s="333"/>
      <c r="AH35" s="333"/>
      <c r="AI35" s="333"/>
      <c r="AJ35" s="223"/>
    </row>
    <row r="36" spans="1:37" ht="15" customHeight="1" x14ac:dyDescent="0.25">
      <c r="A36" s="121"/>
      <c r="B36" s="123" t="s">
        <v>209</v>
      </c>
      <c r="C36" s="123"/>
      <c r="D36" s="123"/>
      <c r="E36" s="123"/>
      <c r="F36" s="123"/>
      <c r="G36" s="123"/>
      <c r="H36" s="123"/>
      <c r="I36" s="123"/>
      <c r="J36" s="123"/>
      <c r="K36" s="123"/>
      <c r="L36" s="123"/>
      <c r="M36" s="123"/>
      <c r="N36" s="123"/>
      <c r="O36" s="123"/>
      <c r="P36" s="123"/>
      <c r="Q36" s="344" t="s">
        <v>17</v>
      </c>
      <c r="R36" s="344" t="s">
        <v>17</v>
      </c>
      <c r="S36" s="344" t="s">
        <v>17</v>
      </c>
      <c r="T36" s="304">
        <v>0.66201820304827741</v>
      </c>
      <c r="U36" s="305">
        <v>0.61572468390956059</v>
      </c>
      <c r="V36" s="305">
        <v>0.66150593839381533</v>
      </c>
      <c r="W36" s="305">
        <v>0.61610956610697654</v>
      </c>
      <c r="X36" s="305">
        <v>0</v>
      </c>
      <c r="Y36" s="305">
        <f>AE36</f>
        <v>0.57988047808764942</v>
      </c>
      <c r="Z36" s="305"/>
      <c r="AA36" s="223"/>
      <c r="AB36" s="305">
        <v>0.56726400660980081</v>
      </c>
      <c r="AC36" s="305">
        <v>0.3072449959530909</v>
      </c>
      <c r="AD36" s="305">
        <f>37%</f>
        <v>0.37</v>
      </c>
      <c r="AE36" s="305">
        <v>0.57988047808764942</v>
      </c>
      <c r="AF36" s="305">
        <v>0.57988047808764942</v>
      </c>
      <c r="AG36" s="482"/>
      <c r="AH36" s="482"/>
      <c r="AI36" s="482"/>
      <c r="AJ36" s="223"/>
    </row>
    <row r="37" spans="1:37" ht="15" customHeight="1" x14ac:dyDescent="0.25">
      <c r="A37" s="121"/>
      <c r="B37" s="54" t="s">
        <v>210</v>
      </c>
      <c r="C37" s="54"/>
      <c r="D37" s="54"/>
      <c r="E37" s="54"/>
      <c r="F37" s="54"/>
      <c r="G37" s="54"/>
      <c r="H37" s="54"/>
      <c r="I37" s="54"/>
      <c r="J37" s="54"/>
      <c r="K37" s="54"/>
      <c r="L37" s="54"/>
      <c r="M37" s="54"/>
      <c r="N37" s="54"/>
      <c r="O37" s="54"/>
      <c r="P37" s="54"/>
      <c r="Q37" s="344" t="s">
        <v>17</v>
      </c>
      <c r="R37" s="344" t="s">
        <v>17</v>
      </c>
      <c r="S37" s="344" t="s">
        <v>17</v>
      </c>
      <c r="T37" s="304">
        <v>0.66486325738533159</v>
      </c>
      <c r="U37" s="305">
        <v>0.51699561105421721</v>
      </c>
      <c r="V37" s="305">
        <v>0.73419132847933322</v>
      </c>
      <c r="W37" s="305">
        <v>0.73271234730449708</v>
      </c>
      <c r="X37" s="305">
        <v>0.55876257776171878</v>
      </c>
      <c r="Y37" s="305">
        <f>AE37</f>
        <v>0.76782171894579654</v>
      </c>
      <c r="Z37" s="305"/>
      <c r="AA37" s="223"/>
      <c r="AB37" s="305" vm="463">
        <v>0.66766300000000001</v>
      </c>
      <c r="AC37" s="305">
        <v>0.78974696696541047</v>
      </c>
      <c r="AD37" s="305">
        <f>78%</f>
        <v>0.78</v>
      </c>
      <c r="AE37" s="305">
        <v>0.76782171894579654</v>
      </c>
      <c r="AF37" s="305">
        <v>0.75747689949564656</v>
      </c>
      <c r="AG37" s="482"/>
      <c r="AH37" s="482"/>
      <c r="AI37" s="482"/>
      <c r="AJ37" s="223"/>
    </row>
    <row r="38" spans="1:37" ht="15" customHeight="1" x14ac:dyDescent="0.25">
      <c r="A38" s="121"/>
      <c r="B38" s="54" t="s">
        <v>211</v>
      </c>
      <c r="C38" s="54"/>
      <c r="D38" s="54"/>
      <c r="E38" s="54"/>
      <c r="F38" s="54"/>
      <c r="G38" s="54"/>
      <c r="H38" s="54"/>
      <c r="I38" s="54"/>
      <c r="J38" s="54"/>
      <c r="K38" s="54"/>
      <c r="L38" s="54"/>
      <c r="M38" s="54"/>
      <c r="N38" s="54"/>
      <c r="O38" s="54"/>
      <c r="P38" s="54"/>
      <c r="Q38" s="344" t="s">
        <v>17</v>
      </c>
      <c r="R38" s="344" t="s">
        <v>17</v>
      </c>
      <c r="S38" s="344" t="s">
        <v>17</v>
      </c>
      <c r="T38" s="304" t="s">
        <v>17</v>
      </c>
      <c r="U38" s="481">
        <v>8.2383935681110465E-2</v>
      </c>
      <c r="V38" s="481">
        <v>5.9465162535716674E-2</v>
      </c>
      <c r="W38" s="481">
        <v>6.7196607650977624E-2</v>
      </c>
      <c r="X38" s="481">
        <v>7.6316048359623634E-2</v>
      </c>
      <c r="Y38" s="481">
        <f>AE38</f>
        <v>4.2623818580038407E-2</v>
      </c>
      <c r="Z38" s="481"/>
      <c r="AA38" s="223"/>
      <c r="AB38" s="481">
        <v>4.7119325815450461E-2</v>
      </c>
      <c r="AC38" s="481">
        <v>4.4944177733669044E-2</v>
      </c>
      <c r="AD38" s="481">
        <v>6.92131E-2</v>
      </c>
      <c r="AE38" s="481">
        <v>4.2623818580038407E-2</v>
      </c>
      <c r="AF38" s="481">
        <v>1.4924502760616204E-3</v>
      </c>
      <c r="AG38" s="483"/>
      <c r="AH38" s="483"/>
      <c r="AI38" s="483"/>
      <c r="AJ38" s="223"/>
    </row>
    <row r="39" spans="1:37" ht="15" customHeight="1" x14ac:dyDescent="0.25">
      <c r="A39" s="121"/>
      <c r="B39" s="54"/>
      <c r="C39" s="54"/>
      <c r="D39" s="54"/>
      <c r="E39" s="54"/>
      <c r="F39" s="54"/>
      <c r="G39" s="54"/>
      <c r="H39" s="54"/>
      <c r="I39" s="54"/>
      <c r="J39" s="54"/>
      <c r="K39" s="54"/>
      <c r="L39" s="54"/>
      <c r="M39" s="54"/>
      <c r="N39" s="54"/>
      <c r="O39" s="54"/>
      <c r="P39" s="54"/>
      <c r="Q39" s="223"/>
      <c r="R39" s="223"/>
      <c r="S39" s="223"/>
      <c r="T39" s="223"/>
      <c r="U39" s="223"/>
      <c r="V39" s="305"/>
      <c r="W39" s="223"/>
      <c r="X39" s="223"/>
      <c r="Y39" s="223"/>
      <c r="Z39" s="223"/>
      <c r="AA39" s="223"/>
      <c r="AB39" s="305"/>
      <c r="AC39" s="305"/>
      <c r="AD39" s="305"/>
      <c r="AF39" s="305"/>
      <c r="AG39" s="305"/>
      <c r="AH39" s="305"/>
      <c r="AI39" s="305"/>
      <c r="AJ39" s="223"/>
    </row>
    <row r="40" spans="1:37" ht="15" customHeight="1" x14ac:dyDescent="0.25">
      <c r="A40" s="121"/>
      <c r="B40" s="177" t="s">
        <v>212</v>
      </c>
      <c r="C40" s="177"/>
      <c r="D40" s="177"/>
      <c r="E40" s="177"/>
      <c r="F40" s="177"/>
      <c r="G40" s="177"/>
      <c r="H40" s="177"/>
      <c r="I40" s="177"/>
      <c r="J40" s="177"/>
      <c r="K40" s="177"/>
      <c r="L40" s="177"/>
      <c r="M40" s="177"/>
      <c r="N40" s="177"/>
      <c r="O40" s="177"/>
      <c r="P40" s="177"/>
      <c r="Q40" s="228">
        <v>2015</v>
      </c>
      <c r="R40" s="228">
        <v>2016</v>
      </c>
      <c r="S40" s="228">
        <v>2017</v>
      </c>
      <c r="T40" s="228">
        <v>2018</v>
      </c>
      <c r="U40" s="228">
        <v>2019</v>
      </c>
      <c r="V40" s="228">
        <v>2020</v>
      </c>
      <c r="W40" s="228">
        <v>2021</v>
      </c>
      <c r="X40" s="228">
        <v>2022</v>
      </c>
      <c r="Y40" s="229">
        <v>2023</v>
      </c>
      <c r="Z40" s="230">
        <v>2024</v>
      </c>
      <c r="AA40" s="223"/>
      <c r="AB40" s="397" t="s">
        <v>291</v>
      </c>
      <c r="AC40" s="397" t="s">
        <v>292</v>
      </c>
      <c r="AD40" s="397" t="s">
        <v>293</v>
      </c>
      <c r="AE40" s="397">
        <v>2023</v>
      </c>
      <c r="AF40" s="232" t="s">
        <v>318</v>
      </c>
      <c r="AG40" s="232" t="s">
        <v>319</v>
      </c>
      <c r="AH40" s="232" t="s">
        <v>320</v>
      </c>
      <c r="AI40" s="232">
        <v>2024</v>
      </c>
      <c r="AJ40" s="223"/>
    </row>
    <row r="41" spans="1:37" ht="15" customHeight="1" x14ac:dyDescent="0.25">
      <c r="A41" s="121"/>
      <c r="B41" s="49" t="s">
        <v>213</v>
      </c>
      <c r="C41" s="49"/>
      <c r="D41" s="49"/>
      <c r="E41" s="49"/>
      <c r="F41" s="49"/>
      <c r="G41" s="49"/>
      <c r="H41" s="49"/>
      <c r="I41" s="49"/>
      <c r="J41" s="49"/>
      <c r="K41" s="49"/>
      <c r="L41" s="49"/>
      <c r="M41" s="49"/>
      <c r="N41" s="49"/>
      <c r="O41" s="49"/>
      <c r="P41" s="49"/>
      <c r="Q41" s="363"/>
      <c r="R41" s="363"/>
      <c r="S41" s="363"/>
      <c r="T41" s="363"/>
      <c r="U41" s="363"/>
      <c r="V41" s="363"/>
      <c r="W41" s="363"/>
      <c r="X41" s="363"/>
      <c r="Y41" s="363"/>
      <c r="Z41" s="363"/>
      <c r="AA41" s="223"/>
      <c r="AB41" s="363"/>
      <c r="AC41" s="363"/>
      <c r="AD41" s="363"/>
      <c r="AF41" s="364"/>
      <c r="AG41" s="364"/>
      <c r="AH41" s="364"/>
      <c r="AI41" s="364"/>
      <c r="AJ41" s="223"/>
    </row>
    <row r="42" spans="1:37" ht="15" customHeight="1" x14ac:dyDescent="0.25">
      <c r="A42" s="121"/>
      <c r="B42" s="123" t="s">
        <v>214</v>
      </c>
      <c r="C42" s="123"/>
      <c r="D42" s="123"/>
      <c r="E42" s="123"/>
      <c r="F42" s="123"/>
      <c r="G42" s="123"/>
      <c r="H42" s="123"/>
      <c r="I42" s="123"/>
      <c r="J42" s="123"/>
      <c r="K42" s="123"/>
      <c r="L42" s="123"/>
      <c r="M42" s="123"/>
      <c r="N42" s="123"/>
      <c r="O42" s="123"/>
      <c r="P42" s="123"/>
      <c r="Q42" s="306">
        <v>12084</v>
      </c>
      <c r="R42" s="306">
        <v>11992</v>
      </c>
      <c r="S42" s="306">
        <v>11657</v>
      </c>
      <c r="T42" s="306">
        <v>11631</v>
      </c>
      <c r="U42" s="306">
        <v>11660</v>
      </c>
      <c r="V42" s="306">
        <v>12180</v>
      </c>
      <c r="W42" s="306">
        <v>12236</v>
      </c>
      <c r="X42" s="306" vm="489">
        <v>13211</v>
      </c>
      <c r="Y42" s="306" vm="350">
        <f>AE42</f>
        <v>13041</v>
      </c>
      <c r="Z42" s="306"/>
      <c r="AA42" s="223"/>
      <c r="AB42" s="306" vm="207">
        <v>13252</v>
      </c>
      <c r="AC42" s="306" vm="200">
        <v>13325</v>
      </c>
      <c r="AD42" s="306" vm="256">
        <v>13235</v>
      </c>
      <c r="AE42" s="306" vm="350">
        <v>13041</v>
      </c>
      <c r="AF42" s="306" vm="507">
        <v>12925</v>
      </c>
      <c r="AG42" s="484"/>
      <c r="AH42" s="484"/>
      <c r="AI42" s="484"/>
      <c r="AJ42" s="223"/>
    </row>
    <row r="43" spans="1:37" ht="15" customHeight="1" x14ac:dyDescent="0.25">
      <c r="A43" s="121"/>
      <c r="B43" s="53" t="s">
        <v>215</v>
      </c>
      <c r="C43" s="53"/>
      <c r="D43" s="53"/>
      <c r="E43" s="53"/>
      <c r="F43" s="53"/>
      <c r="G43" s="53"/>
      <c r="H43" s="53"/>
      <c r="I43" s="53"/>
      <c r="J43" s="53"/>
      <c r="K43" s="53"/>
      <c r="L43" s="53"/>
      <c r="M43" s="53"/>
      <c r="N43" s="53"/>
      <c r="O43" s="53"/>
      <c r="P43" s="53"/>
      <c r="Q43" s="304" t="s">
        <v>17</v>
      </c>
      <c r="R43" s="304" t="s">
        <v>17</v>
      </c>
      <c r="S43" s="304" t="s">
        <v>17</v>
      </c>
      <c r="T43" s="305">
        <v>0.24641045481901813</v>
      </c>
      <c r="U43" s="305">
        <v>0.25</v>
      </c>
      <c r="V43" s="305">
        <v>0.25</v>
      </c>
      <c r="W43" s="305">
        <v>0.2666</v>
      </c>
      <c r="X43" s="305">
        <v>0.27484671864355459</v>
      </c>
      <c r="Y43" s="305">
        <f>AE43</f>
        <v>0.28763131661682384</v>
      </c>
      <c r="Z43" s="305"/>
      <c r="AA43" s="223"/>
      <c r="AB43" s="305">
        <v>0.27942952007244187</v>
      </c>
      <c r="AC43" s="305">
        <v>0.28015009380863037</v>
      </c>
      <c r="AD43" s="305">
        <v>0.28197959954665658</v>
      </c>
      <c r="AE43" s="305">
        <v>0.28763131661682384</v>
      </c>
      <c r="AF43" s="305">
        <v>0.28827852998065762</v>
      </c>
      <c r="AG43" s="482"/>
      <c r="AH43" s="482"/>
      <c r="AI43" s="482"/>
      <c r="AJ43" s="223"/>
    </row>
    <row r="44" spans="1:37" ht="15" customHeight="1" x14ac:dyDescent="0.25">
      <c r="A44" s="121"/>
      <c r="B44" s="53" t="s">
        <v>216</v>
      </c>
      <c r="C44" s="53"/>
      <c r="D44" s="53"/>
      <c r="E44" s="53"/>
      <c r="F44" s="53"/>
      <c r="G44" s="53"/>
      <c r="H44" s="53"/>
      <c r="I44" s="53"/>
      <c r="J44" s="53"/>
      <c r="K44" s="53"/>
      <c r="L44" s="53"/>
      <c r="M44" s="53"/>
      <c r="N44" s="53"/>
      <c r="O44" s="53"/>
      <c r="P44" s="53"/>
      <c r="Q44" s="307" t="s">
        <v>17</v>
      </c>
      <c r="R44" s="307" t="s">
        <v>17</v>
      </c>
      <c r="S44" s="304" t="s">
        <v>17</v>
      </c>
      <c r="T44" s="305">
        <v>0.1032</v>
      </c>
      <c r="U44" s="305">
        <v>0.1051</v>
      </c>
      <c r="V44" s="305">
        <v>0.1147</v>
      </c>
      <c r="W44" s="305">
        <v>0.12610299999999999</v>
      </c>
      <c r="X44" s="305" vm="205">
        <v>0.11755400000000001</v>
      </c>
      <c r="Y44" s="305" vm="351">
        <f>AE44</f>
        <v>0.13395799999999999</v>
      </c>
      <c r="Z44" s="305"/>
      <c r="AA44" s="223"/>
      <c r="AB44" s="305" vm="464">
        <v>2.9052000000000001E-2</v>
      </c>
      <c r="AC44" s="305" vm="165">
        <v>5.5E-2</v>
      </c>
      <c r="AD44" s="305" vm="224">
        <v>8.3000000000000004E-2</v>
      </c>
      <c r="AE44" s="305" vm="351">
        <v>0.13395799999999999</v>
      </c>
      <c r="AF44" s="305">
        <v>2.9864603481624757E-2</v>
      </c>
      <c r="AG44" s="483"/>
      <c r="AH44" s="483"/>
      <c r="AI44" s="483"/>
      <c r="AJ44" s="223"/>
    </row>
    <row r="45" spans="1:37" ht="15" customHeight="1" x14ac:dyDescent="0.25">
      <c r="A45" s="121"/>
      <c r="B45" s="124" t="s">
        <v>217</v>
      </c>
      <c r="C45" s="124"/>
      <c r="D45" s="124"/>
      <c r="E45" s="124"/>
      <c r="F45" s="124"/>
      <c r="G45" s="124"/>
      <c r="H45" s="124"/>
      <c r="I45" s="124"/>
      <c r="J45" s="124"/>
      <c r="K45" s="124"/>
      <c r="L45" s="124"/>
      <c r="M45" s="124"/>
      <c r="N45" s="124"/>
      <c r="O45" s="124"/>
      <c r="P45" s="124"/>
      <c r="Q45" s="223"/>
      <c r="R45" s="223"/>
      <c r="S45" s="223"/>
      <c r="T45" s="223"/>
      <c r="U45" s="223"/>
      <c r="V45" s="223"/>
      <c r="W45" s="223"/>
      <c r="X45" s="223"/>
      <c r="Y45" s="223"/>
      <c r="Z45" s="223"/>
      <c r="AA45" s="223"/>
      <c r="AB45" s="223"/>
      <c r="AC45" s="223"/>
      <c r="AD45" s="223"/>
      <c r="AE45" s="223"/>
      <c r="AF45" s="223"/>
      <c r="AG45" s="333"/>
      <c r="AH45" s="333"/>
      <c r="AI45" s="333"/>
      <c r="AJ45" s="223"/>
    </row>
    <row r="46" spans="1:37" ht="15" customHeight="1" x14ac:dyDescent="0.25">
      <c r="A46" s="121"/>
      <c r="B46" s="123" t="s">
        <v>218</v>
      </c>
      <c r="C46" s="123"/>
      <c r="D46" s="123"/>
      <c r="E46" s="123"/>
      <c r="F46" s="123"/>
      <c r="G46" s="123"/>
      <c r="H46" s="123"/>
      <c r="I46" s="123"/>
      <c r="J46" s="123"/>
      <c r="K46" s="123"/>
      <c r="L46" s="123"/>
      <c r="M46" s="123"/>
      <c r="N46" s="123"/>
      <c r="O46" s="123"/>
      <c r="P46" s="123"/>
      <c r="Q46" s="306">
        <v>443105</v>
      </c>
      <c r="R46" s="306">
        <v>389883</v>
      </c>
      <c r="S46" s="306">
        <v>473078</v>
      </c>
      <c r="T46" s="306">
        <v>398394.17660799995</v>
      </c>
      <c r="U46" s="306">
        <v>400448.45329599991</v>
      </c>
      <c r="V46" s="306">
        <v>273872.676531</v>
      </c>
      <c r="W46" s="306">
        <v>337539.608374</v>
      </c>
      <c r="X46" s="306" vm="490">
        <v>309935.42946299998</v>
      </c>
      <c r="Y46" s="306" vm="352">
        <f>AE46</f>
        <v>376717.16651700001</v>
      </c>
      <c r="Z46" s="306"/>
      <c r="AA46" s="223"/>
      <c r="AB46" s="306" vm="173">
        <v>42300.47</v>
      </c>
      <c r="AC46" s="306" vm="183">
        <v>131711.73997299999</v>
      </c>
      <c r="AD46" s="306" vm="225">
        <v>184294.52663099999</v>
      </c>
      <c r="AE46" s="306" vm="352">
        <v>376717.16651700001</v>
      </c>
      <c r="AF46" s="306" vm="508">
        <v>47170.71</v>
      </c>
      <c r="AG46" s="484"/>
      <c r="AH46" s="484"/>
      <c r="AI46" s="484"/>
      <c r="AJ46" s="223"/>
    </row>
    <row r="47" spans="1:37" ht="15" customHeight="1" x14ac:dyDescent="0.25">
      <c r="A47" s="121"/>
      <c r="B47" s="53" t="s">
        <v>219</v>
      </c>
      <c r="C47" s="53"/>
      <c r="D47" s="53"/>
      <c r="E47" s="53"/>
      <c r="F47" s="53"/>
      <c r="G47" s="53"/>
      <c r="H47" s="53"/>
      <c r="I47" s="53"/>
      <c r="J47" s="53"/>
      <c r="K47" s="53"/>
      <c r="L47" s="53"/>
      <c r="M47" s="53"/>
      <c r="N47" s="53"/>
      <c r="O47" s="53"/>
      <c r="P47" s="53"/>
      <c r="Q47" s="304" t="s">
        <v>17</v>
      </c>
      <c r="R47" s="304" t="s">
        <v>17</v>
      </c>
      <c r="S47" s="304" t="s">
        <v>17</v>
      </c>
      <c r="T47" s="305">
        <v>0.99691437387503212</v>
      </c>
      <c r="U47" s="305">
        <v>0.97368421052631571</v>
      </c>
      <c r="V47" s="305">
        <v>1</v>
      </c>
      <c r="W47" s="305">
        <v>1</v>
      </c>
      <c r="X47" s="305" vm="210">
        <v>0.99515600000000004</v>
      </c>
      <c r="Y47" s="305" vm="353">
        <f>AE47</f>
        <v>1</v>
      </c>
      <c r="Z47" s="305"/>
      <c r="AA47" s="223"/>
      <c r="AB47" s="305" vm="174">
        <v>0.51350700000000005</v>
      </c>
      <c r="AC47" s="305" vm="184">
        <v>0.934334</v>
      </c>
      <c r="AD47" s="305" vm="226">
        <v>0.95602600000000004</v>
      </c>
      <c r="AE47" s="305" vm="353">
        <v>1</v>
      </c>
      <c r="AF47" s="305" vm="509">
        <v>0.56897500000000001</v>
      </c>
      <c r="AG47" s="482"/>
      <c r="AH47" s="482"/>
      <c r="AI47" s="482"/>
      <c r="AJ47" s="223"/>
    </row>
    <row r="48" spans="1:37" ht="15" customHeight="1" x14ac:dyDescent="0.25">
      <c r="A48" s="121"/>
      <c r="B48" s="54" t="s">
        <v>220</v>
      </c>
      <c r="C48" s="54"/>
      <c r="D48" s="54"/>
      <c r="E48" s="54"/>
      <c r="F48" s="54"/>
      <c r="G48" s="54"/>
      <c r="H48" s="54"/>
      <c r="I48" s="54"/>
      <c r="J48" s="54"/>
      <c r="K48" s="54"/>
      <c r="L48" s="54"/>
      <c r="M48" s="54"/>
      <c r="N48" s="54"/>
      <c r="O48" s="54"/>
      <c r="P48" s="54"/>
      <c r="Q48" s="307" t="s">
        <v>17</v>
      </c>
      <c r="R48" s="307" t="s">
        <v>17</v>
      </c>
      <c r="S48" s="307" t="s">
        <v>17</v>
      </c>
      <c r="T48" s="306">
        <v>4042.6642515544854</v>
      </c>
      <c r="U48" s="306">
        <v>3756</v>
      </c>
      <c r="V48" s="306">
        <v>3250</v>
      </c>
      <c r="W48" s="306">
        <v>3703.7467551509999</v>
      </c>
      <c r="X48" s="306">
        <v>3787.5358401509998</v>
      </c>
      <c r="Y48" s="306">
        <f>AE48</f>
        <v>5189.8473110640007</v>
      </c>
      <c r="Z48" s="306"/>
      <c r="AA48" s="223"/>
      <c r="AB48" s="306">
        <v>520.61325617600005</v>
      </c>
      <c r="AC48" s="306">
        <v>2683.680136597</v>
      </c>
      <c r="AD48" s="484">
        <v>3284.1244937049996</v>
      </c>
      <c r="AE48" s="484">
        <v>5189.8473110640007</v>
      </c>
      <c r="AF48" s="484" vm="510">
        <v>1054.0646139999999</v>
      </c>
      <c r="AG48" s="484"/>
      <c r="AH48" s="484"/>
      <c r="AI48" s="484"/>
      <c r="AJ48" s="223"/>
    </row>
    <row r="49" spans="1:36" ht="15" customHeight="1" x14ac:dyDescent="0.25">
      <c r="A49" s="121"/>
      <c r="B49" s="124" t="s">
        <v>221</v>
      </c>
      <c r="C49" s="124"/>
      <c r="D49" s="124"/>
      <c r="E49" s="124"/>
      <c r="F49" s="124"/>
      <c r="G49" s="124"/>
      <c r="H49" s="124"/>
      <c r="I49" s="124"/>
      <c r="J49" s="124"/>
      <c r="K49" s="124"/>
      <c r="L49" s="124"/>
      <c r="M49" s="124"/>
      <c r="N49" s="124"/>
      <c r="O49" s="124"/>
      <c r="P49" s="124"/>
      <c r="Q49" s="223"/>
      <c r="R49" s="223"/>
      <c r="S49" s="223"/>
      <c r="T49" s="223"/>
      <c r="U49" s="223"/>
      <c r="V49" s="223"/>
      <c r="W49" s="223"/>
      <c r="X49" s="223"/>
      <c r="Y49" s="223"/>
      <c r="Z49" s="223"/>
      <c r="AA49" s="223"/>
      <c r="AB49" s="223"/>
      <c r="AC49" s="223"/>
      <c r="AD49" s="223"/>
      <c r="AE49" s="223"/>
      <c r="AF49" s="223"/>
      <c r="AG49" s="333"/>
      <c r="AH49" s="333"/>
      <c r="AI49" s="333"/>
      <c r="AJ49" s="223"/>
    </row>
    <row r="50" spans="1:36" ht="15" customHeight="1" x14ac:dyDescent="0.25">
      <c r="A50" s="121"/>
      <c r="B50" s="123" t="s">
        <v>222</v>
      </c>
      <c r="C50" s="123"/>
      <c r="D50" s="123"/>
      <c r="E50" s="123"/>
      <c r="F50" s="123"/>
      <c r="G50" s="123"/>
      <c r="H50" s="123"/>
      <c r="I50" s="123"/>
      <c r="J50" s="123"/>
      <c r="K50" s="123"/>
      <c r="L50" s="123"/>
      <c r="M50" s="123"/>
      <c r="N50" s="123"/>
      <c r="O50" s="123"/>
      <c r="P50" s="123"/>
      <c r="Q50" s="304" t="s">
        <v>17</v>
      </c>
      <c r="R50" s="304" t="s">
        <v>17</v>
      </c>
      <c r="S50" s="304" t="s">
        <v>17</v>
      </c>
      <c r="T50" s="306">
        <v>29</v>
      </c>
      <c r="U50" s="306">
        <v>29</v>
      </c>
      <c r="V50" s="306">
        <v>17</v>
      </c>
      <c r="W50" s="306">
        <v>21</v>
      </c>
      <c r="X50" s="306" vm="491">
        <v>28</v>
      </c>
      <c r="Y50" s="306" vm="354">
        <f t="shared" ref="Y50:Y55" si="0">AE50</f>
        <v>37</v>
      </c>
      <c r="Z50" s="306"/>
      <c r="AA50" s="223"/>
      <c r="AB50" s="306" vm="185">
        <v>22</v>
      </c>
      <c r="AC50" s="306" vm="185">
        <v>22</v>
      </c>
      <c r="AD50" s="306" vm="227">
        <v>30</v>
      </c>
      <c r="AE50" s="306" vm="354">
        <v>37</v>
      </c>
      <c r="AF50" s="306" vm="511">
        <v>7</v>
      </c>
      <c r="AG50" s="484"/>
      <c r="AH50" s="484"/>
      <c r="AI50" s="484"/>
      <c r="AJ50" s="223"/>
    </row>
    <row r="51" spans="1:36" ht="15" customHeight="1" x14ac:dyDescent="0.25">
      <c r="A51" s="121"/>
      <c r="B51" s="53" t="s">
        <v>223</v>
      </c>
      <c r="C51" s="53"/>
      <c r="D51" s="53"/>
      <c r="E51" s="53"/>
      <c r="F51" s="53"/>
      <c r="G51" s="53"/>
      <c r="H51" s="53"/>
      <c r="I51" s="53"/>
      <c r="J51" s="53"/>
      <c r="K51" s="53"/>
      <c r="L51" s="53"/>
      <c r="M51" s="53"/>
      <c r="N51" s="53"/>
      <c r="O51" s="53"/>
      <c r="P51" s="53"/>
      <c r="Q51" s="307" t="s">
        <v>17</v>
      </c>
      <c r="R51" s="307" t="s">
        <v>17</v>
      </c>
      <c r="S51" s="307" t="s">
        <v>17</v>
      </c>
      <c r="T51" s="306">
        <v>106</v>
      </c>
      <c r="U51" s="306">
        <v>82</v>
      </c>
      <c r="V51" s="306">
        <v>115</v>
      </c>
      <c r="W51" s="306">
        <v>132</v>
      </c>
      <c r="X51" s="306" vm="50">
        <v>105</v>
      </c>
      <c r="Y51" s="306" vm="355">
        <f t="shared" si="0"/>
        <v>140</v>
      </c>
      <c r="Z51" s="306"/>
      <c r="AA51" s="223"/>
      <c r="AB51" s="306" vm="175">
        <v>38</v>
      </c>
      <c r="AC51" s="306" vm="186">
        <v>72</v>
      </c>
      <c r="AD51" s="306" vm="228">
        <v>101</v>
      </c>
      <c r="AE51" s="306" vm="355">
        <v>140</v>
      </c>
      <c r="AF51" s="306" vm="512">
        <v>25</v>
      </c>
      <c r="AG51" s="484"/>
      <c r="AH51" s="484"/>
      <c r="AI51" s="484"/>
      <c r="AJ51" s="223"/>
    </row>
    <row r="52" spans="1:36" ht="15" customHeight="1" x14ac:dyDescent="0.25">
      <c r="A52" s="121"/>
      <c r="B52" s="54" t="s">
        <v>224</v>
      </c>
      <c r="C52" s="54"/>
      <c r="D52" s="54"/>
      <c r="E52" s="54"/>
      <c r="F52" s="54"/>
      <c r="G52" s="54"/>
      <c r="H52" s="54"/>
      <c r="I52" s="54"/>
      <c r="J52" s="54"/>
      <c r="K52" s="54"/>
      <c r="L52" s="54"/>
      <c r="M52" s="54"/>
      <c r="N52" s="54"/>
      <c r="O52" s="54"/>
      <c r="P52" s="54"/>
      <c r="Q52" s="304" t="s">
        <v>17</v>
      </c>
      <c r="R52" s="304" t="s">
        <v>17</v>
      </c>
      <c r="S52" s="304" t="s">
        <v>17</v>
      </c>
      <c r="T52" s="306">
        <v>2</v>
      </c>
      <c r="U52" s="306">
        <v>0</v>
      </c>
      <c r="V52" s="306">
        <v>0</v>
      </c>
      <c r="W52" s="306">
        <v>0</v>
      </c>
      <c r="X52" s="306" vm="51">
        <v>0</v>
      </c>
      <c r="Y52" s="306" vm="356">
        <f t="shared" si="0"/>
        <v>0</v>
      </c>
      <c r="Z52" s="306"/>
      <c r="AA52" s="223"/>
      <c r="AB52" s="306" vm="465">
        <v>0</v>
      </c>
      <c r="AC52" s="306" vm="187">
        <v>0</v>
      </c>
      <c r="AD52" s="306" vm="229">
        <v>0</v>
      </c>
      <c r="AE52" s="306" vm="356">
        <v>0</v>
      </c>
      <c r="AF52" s="306" vm="513">
        <v>0</v>
      </c>
      <c r="AG52" s="484"/>
      <c r="AH52" s="484"/>
      <c r="AI52" s="484"/>
      <c r="AJ52" s="223"/>
    </row>
    <row r="53" spans="1:36" ht="15" customHeight="1" x14ac:dyDescent="0.25">
      <c r="A53" s="121"/>
      <c r="B53" s="54" t="s">
        <v>225</v>
      </c>
      <c r="C53" s="54"/>
      <c r="D53" s="54"/>
      <c r="E53" s="54"/>
      <c r="F53" s="54"/>
      <c r="G53" s="54"/>
      <c r="H53" s="54"/>
      <c r="I53" s="54"/>
      <c r="J53" s="54"/>
      <c r="K53" s="54"/>
      <c r="L53" s="54"/>
      <c r="M53" s="54"/>
      <c r="N53" s="54"/>
      <c r="O53" s="54"/>
      <c r="P53" s="54"/>
      <c r="Q53" s="307" t="s">
        <v>17</v>
      </c>
      <c r="R53" s="307" t="s">
        <v>17</v>
      </c>
      <c r="S53" s="307" t="s">
        <v>17</v>
      </c>
      <c r="T53" s="306">
        <v>5</v>
      </c>
      <c r="U53" s="306">
        <v>2</v>
      </c>
      <c r="V53" s="306">
        <v>3</v>
      </c>
      <c r="W53" s="306">
        <v>7</v>
      </c>
      <c r="X53" s="306" vm="468">
        <v>5</v>
      </c>
      <c r="Y53" s="306" vm="357">
        <f t="shared" si="0"/>
        <v>5</v>
      </c>
      <c r="Z53" s="306"/>
      <c r="AA53" s="223"/>
      <c r="AB53" s="306" vm="131">
        <v>3.15</v>
      </c>
      <c r="AC53" s="306" vm="202">
        <v>1</v>
      </c>
      <c r="AD53" s="306" vm="218">
        <v>2</v>
      </c>
      <c r="AE53" s="306" vm="357">
        <v>5</v>
      </c>
      <c r="AF53" s="306" vm="514">
        <v>1</v>
      </c>
      <c r="AG53" s="484"/>
      <c r="AH53" s="484"/>
      <c r="AI53" s="484"/>
      <c r="AJ53" s="223"/>
    </row>
    <row r="54" spans="1:36" ht="15" customHeight="1" x14ac:dyDescent="0.25">
      <c r="A54" s="121"/>
      <c r="B54" s="54" t="s">
        <v>226</v>
      </c>
      <c r="C54" s="54"/>
      <c r="D54" s="54"/>
      <c r="E54" s="54"/>
      <c r="F54" s="54"/>
      <c r="G54" s="54"/>
      <c r="H54" s="54"/>
      <c r="I54" s="54"/>
      <c r="J54" s="54"/>
      <c r="K54" s="54"/>
      <c r="L54" s="54"/>
      <c r="M54" s="54"/>
      <c r="N54" s="54"/>
      <c r="O54" s="54"/>
      <c r="P54" s="54"/>
      <c r="Q54" s="304" t="s">
        <v>17</v>
      </c>
      <c r="R54" s="304" t="s">
        <v>17</v>
      </c>
      <c r="S54" s="304" t="s">
        <v>17</v>
      </c>
      <c r="T54" s="421">
        <v>1.3563675182483559</v>
      </c>
      <c r="U54" s="421">
        <v>1.5</v>
      </c>
      <c r="V54" s="421">
        <v>0.77</v>
      </c>
      <c r="W54" s="421">
        <v>0.92</v>
      </c>
      <c r="X54" s="421" vm="35">
        <v>1.1299999999999999</v>
      </c>
      <c r="Y54" s="421" vm="358">
        <f t="shared" si="0"/>
        <v>1.466717</v>
      </c>
      <c r="Z54" s="421"/>
      <c r="AA54" s="421"/>
      <c r="AB54" s="421" vm="466">
        <v>3.78</v>
      </c>
      <c r="AC54" s="421" vm="203">
        <v>1.6432960000000001</v>
      </c>
      <c r="AD54" s="421" vm="230">
        <v>1.604487</v>
      </c>
      <c r="AE54" s="421" vm="358">
        <v>1.466717</v>
      </c>
      <c r="AF54" s="421" vm="515">
        <v>1.1432640000000001</v>
      </c>
      <c r="AG54" s="485"/>
      <c r="AH54" s="485"/>
      <c r="AI54" s="485"/>
      <c r="AJ54" s="223"/>
    </row>
    <row r="55" spans="1:36" ht="15" customHeight="1" x14ac:dyDescent="0.25">
      <c r="A55" s="121"/>
      <c r="B55" s="54" t="s">
        <v>227</v>
      </c>
      <c r="C55" s="54"/>
      <c r="D55" s="54"/>
      <c r="E55" s="54"/>
      <c r="F55" s="54"/>
      <c r="G55" s="54"/>
      <c r="H55" s="54"/>
      <c r="I55" s="54"/>
      <c r="J55" s="54"/>
      <c r="K55" s="54"/>
      <c r="L55" s="54"/>
      <c r="M55" s="54"/>
      <c r="N55" s="54"/>
      <c r="O55" s="54"/>
      <c r="P55" s="54"/>
      <c r="Q55" s="307" t="s">
        <v>17</v>
      </c>
      <c r="R55" s="307" t="s">
        <v>17</v>
      </c>
      <c r="S55" s="307" t="s">
        <v>17</v>
      </c>
      <c r="T55" s="421">
        <v>2.4955222818290688</v>
      </c>
      <c r="U55" s="421">
        <v>1.84</v>
      </c>
      <c r="V55" s="421">
        <v>2.12</v>
      </c>
      <c r="W55" s="421">
        <v>2.09</v>
      </c>
      <c r="X55" s="421" vm="211">
        <v>2.1800000000000002</v>
      </c>
      <c r="Y55" s="421" vm="349">
        <f t="shared" si="0"/>
        <v>2.3182670000000001</v>
      </c>
      <c r="Z55" s="421"/>
      <c r="AA55" s="421"/>
      <c r="AB55" s="421" vm="467">
        <v>2.1800000000000002</v>
      </c>
      <c r="AC55" s="421" vm="188">
        <v>2.7781229999999999</v>
      </c>
      <c r="AD55" s="421" vm="231">
        <v>2.3079190000000001</v>
      </c>
      <c r="AE55" s="421" vm="349">
        <v>2.3182670000000001</v>
      </c>
      <c r="AF55" s="421" vm="516">
        <v>2.0119220000000002</v>
      </c>
      <c r="AG55" s="485"/>
      <c r="AH55" s="485"/>
      <c r="AI55" s="485"/>
      <c r="AJ55" s="223"/>
    </row>
    <row r="56" spans="1:36" ht="15" customHeight="1" x14ac:dyDescent="0.25">
      <c r="A56" s="121"/>
      <c r="B56" s="54"/>
      <c r="C56" s="54"/>
      <c r="D56" s="54"/>
      <c r="E56" s="54"/>
      <c r="F56" s="54"/>
      <c r="G56" s="54"/>
      <c r="H56" s="54"/>
      <c r="I56" s="54"/>
      <c r="J56" s="54"/>
      <c r="K56" s="54"/>
      <c r="L56" s="54"/>
      <c r="M56" s="54"/>
      <c r="N56" s="54"/>
      <c r="O56" s="54"/>
      <c r="P56" s="54"/>
      <c r="Q56" s="253"/>
      <c r="R56" s="253"/>
      <c r="S56" s="292"/>
      <c r="T56" s="237"/>
      <c r="U56" s="223"/>
      <c r="V56" s="223"/>
      <c r="W56" s="223"/>
      <c r="X56" s="223"/>
      <c r="Y56" s="223"/>
      <c r="Z56" s="223"/>
      <c r="AA56" s="223"/>
      <c r="AB56" s="223"/>
      <c r="AC56" s="223"/>
      <c r="AD56" s="223"/>
      <c r="AE56" s="223"/>
      <c r="AF56" s="223"/>
      <c r="AG56" s="223"/>
      <c r="AH56" s="223"/>
      <c r="AI56" s="223"/>
      <c r="AJ56" s="223"/>
    </row>
    <row r="57" spans="1:36" ht="15" customHeight="1" x14ac:dyDescent="0.25">
      <c r="A57" s="121"/>
      <c r="B57" s="177" t="s">
        <v>276</v>
      </c>
      <c r="C57" s="177"/>
      <c r="D57" s="177"/>
      <c r="E57" s="177"/>
      <c r="F57" s="177"/>
      <c r="G57" s="177"/>
      <c r="H57" s="177"/>
      <c r="I57" s="177"/>
      <c r="J57" s="177"/>
      <c r="K57" s="177"/>
      <c r="L57" s="177"/>
      <c r="M57" s="177"/>
      <c r="N57" s="177"/>
      <c r="O57" s="177"/>
      <c r="P57" s="177"/>
      <c r="Q57" s="228">
        <v>2015</v>
      </c>
      <c r="R57" s="228">
        <v>2016</v>
      </c>
      <c r="S57" s="228">
        <v>2017</v>
      </c>
      <c r="T57" s="228">
        <v>2018</v>
      </c>
      <c r="U57" s="228">
        <v>2019</v>
      </c>
      <c r="V57" s="228">
        <v>2020</v>
      </c>
      <c r="W57" s="228">
        <v>2021</v>
      </c>
      <c r="X57" s="228">
        <v>2022</v>
      </c>
      <c r="Y57" s="229">
        <v>2023</v>
      </c>
      <c r="Z57" s="230">
        <v>2024</v>
      </c>
      <c r="AA57" s="223"/>
      <c r="AB57" s="397" t="s">
        <v>291</v>
      </c>
      <c r="AC57" s="397" t="s">
        <v>292</v>
      </c>
      <c r="AD57" s="397" t="s">
        <v>293</v>
      </c>
      <c r="AE57" s="397">
        <v>2023</v>
      </c>
      <c r="AF57" s="232" t="s">
        <v>318</v>
      </c>
      <c r="AG57" s="232" t="s">
        <v>319</v>
      </c>
      <c r="AH57" s="232" t="s">
        <v>320</v>
      </c>
      <c r="AI57" s="232">
        <v>2024</v>
      </c>
      <c r="AJ57" s="223"/>
    </row>
    <row r="58" spans="1:36" x14ac:dyDescent="0.25">
      <c r="B58" s="444" t="s">
        <v>277</v>
      </c>
      <c r="Q58" s="307" t="s">
        <v>17</v>
      </c>
      <c r="R58" s="307" t="s">
        <v>17</v>
      </c>
      <c r="S58" s="307" t="s">
        <v>17</v>
      </c>
      <c r="T58" s="307" t="s">
        <v>17</v>
      </c>
      <c r="U58" s="307" t="s">
        <v>17</v>
      </c>
      <c r="V58" s="237">
        <v>800</v>
      </c>
      <c r="W58" s="237" vm="12">
        <v>790</v>
      </c>
      <c r="X58" s="237" vm="56">
        <v>810</v>
      </c>
      <c r="Y58" s="452" vm="359">
        <f t="shared" ref="Y58:Y70" si="1">AE58</f>
        <v>810</v>
      </c>
      <c r="Z58" s="452"/>
      <c r="AB58" s="237" vm="134">
        <v>810</v>
      </c>
      <c r="AC58" s="237" vm="189">
        <v>790</v>
      </c>
      <c r="AD58" s="237" vm="236">
        <v>810</v>
      </c>
      <c r="AE58" s="237" vm="359">
        <v>810</v>
      </c>
      <c r="AF58" s="237" vm="517">
        <v>800</v>
      </c>
      <c r="AG58" s="404"/>
      <c r="AH58" s="404"/>
      <c r="AI58" s="404"/>
    </row>
    <row r="59" spans="1:36" x14ac:dyDescent="0.25">
      <c r="B59" s="445" t="s">
        <v>278</v>
      </c>
      <c r="Q59" s="307" t="s">
        <v>17</v>
      </c>
      <c r="R59" s="307" t="s">
        <v>17</v>
      </c>
      <c r="S59" s="307" t="s">
        <v>17</v>
      </c>
      <c r="T59" s="307" t="s">
        <v>17</v>
      </c>
      <c r="U59" s="307" t="s">
        <v>17</v>
      </c>
      <c r="V59" s="292" vm="15">
        <v>0.56000000000000005</v>
      </c>
      <c r="W59" s="292" vm="18">
        <v>0.8</v>
      </c>
      <c r="X59" s="502" vm="469">
        <v>0.71526400000000001</v>
      </c>
      <c r="Y59" s="452" vm="360">
        <f t="shared" si="1"/>
        <v>0.80667699999999998</v>
      </c>
      <c r="Z59" s="452"/>
      <c r="AA59" s="190"/>
      <c r="AB59" s="502" vm="132">
        <v>0.75786200000000004</v>
      </c>
      <c r="AC59" s="502" vm="166">
        <v>0.80093800000000004</v>
      </c>
      <c r="AD59" s="502" vm="234">
        <v>0.770648</v>
      </c>
      <c r="AE59" s="305" vm="360">
        <v>0.80667699999999998</v>
      </c>
      <c r="AF59" s="305" vm="518">
        <v>0.83325700000000003</v>
      </c>
      <c r="AG59" s="482"/>
      <c r="AH59" s="482"/>
      <c r="AI59" s="482"/>
    </row>
    <row r="60" spans="1:36" x14ac:dyDescent="0.25">
      <c r="B60" s="445" t="s">
        <v>279</v>
      </c>
      <c r="Q60" s="307" t="s">
        <v>17</v>
      </c>
      <c r="R60" s="307" t="s">
        <v>17</v>
      </c>
      <c r="S60" s="307" t="s">
        <v>17</v>
      </c>
      <c r="T60" s="307" t="s">
        <v>17</v>
      </c>
      <c r="U60" s="307" t="s">
        <v>17</v>
      </c>
      <c r="V60" s="292" vm="21">
        <v>0.47</v>
      </c>
      <c r="W60" s="292" vm="14">
        <v>0.39</v>
      </c>
      <c r="X60" s="502" vm="57">
        <v>0.42936800000000003</v>
      </c>
      <c r="Y60" s="452" vm="361">
        <f t="shared" si="1"/>
        <v>0.45067600000000002</v>
      </c>
      <c r="Z60" s="452"/>
      <c r="AA60" s="190"/>
      <c r="AB60" s="502" vm="135">
        <v>0.43466500000000002</v>
      </c>
      <c r="AC60" s="502" vm="190">
        <v>0.440216</v>
      </c>
      <c r="AD60" s="502" vm="233">
        <v>0.44414999999999999</v>
      </c>
      <c r="AE60" s="502" vm="361">
        <v>0.45067600000000002</v>
      </c>
      <c r="AF60" s="502" vm="519">
        <v>0.45953699999999997</v>
      </c>
      <c r="AG60" s="327"/>
      <c r="AH60" s="327"/>
      <c r="AI60" s="327"/>
    </row>
    <row r="61" spans="1:36" x14ac:dyDescent="0.25">
      <c r="B61" s="445" t="s">
        <v>280</v>
      </c>
      <c r="Q61" s="307" t="s">
        <v>17</v>
      </c>
      <c r="R61" s="307" t="s">
        <v>17</v>
      </c>
      <c r="S61" s="307" t="s">
        <v>17</v>
      </c>
      <c r="T61" s="307" t="s">
        <v>17</v>
      </c>
      <c r="U61" s="307" t="s">
        <v>17</v>
      </c>
      <c r="V61" s="292" vm="19">
        <v>0.79</v>
      </c>
      <c r="W61" s="292" vm="17">
        <v>0.64</v>
      </c>
      <c r="X61" s="502" vm="36">
        <v>0.65488199999999996</v>
      </c>
      <c r="Y61" s="452" vm="362">
        <f t="shared" si="1"/>
        <v>0.77144100000000004</v>
      </c>
      <c r="Z61" s="452"/>
      <c r="AA61" s="190"/>
      <c r="AB61" s="502" vm="136">
        <v>0.65915400000000002</v>
      </c>
      <c r="AC61" s="502" vm="191">
        <v>0.69343100000000002</v>
      </c>
      <c r="AD61" s="502" vm="237">
        <v>0.74605600000000005</v>
      </c>
      <c r="AE61" s="502" vm="362">
        <v>0.77144100000000004</v>
      </c>
      <c r="AF61" s="502" vm="520">
        <v>0.77088900000000005</v>
      </c>
      <c r="AG61" s="327"/>
      <c r="AH61" s="327"/>
      <c r="AI61" s="327"/>
    </row>
    <row r="62" spans="1:36" x14ac:dyDescent="0.25">
      <c r="B62" s="445" t="s">
        <v>281</v>
      </c>
      <c r="Q62" s="307" t="s">
        <v>17</v>
      </c>
      <c r="R62" s="307" t="s">
        <v>17</v>
      </c>
      <c r="S62" s="307" t="s">
        <v>17</v>
      </c>
      <c r="T62" s="307" t="s">
        <v>17</v>
      </c>
      <c r="U62" s="307" t="s">
        <v>17</v>
      </c>
      <c r="V62" s="292" vm="16">
        <v>0.85</v>
      </c>
      <c r="W62" s="292" vm="22">
        <v>0.84</v>
      </c>
      <c r="X62" s="502" t="s">
        <v>290</v>
      </c>
      <c r="Y62" s="452" t="str">
        <f t="shared" si="1"/>
        <v>n.a</v>
      </c>
      <c r="Z62" s="452"/>
      <c r="AA62" s="190"/>
      <c r="AB62" s="292" t="s">
        <v>290</v>
      </c>
      <c r="AC62" s="292" t="s">
        <v>290</v>
      </c>
      <c r="AD62" s="292" t="s">
        <v>290</v>
      </c>
      <c r="AE62" s="292" t="s">
        <v>290</v>
      </c>
      <c r="AF62" s="292" t="s">
        <v>290</v>
      </c>
      <c r="AG62" s="327"/>
      <c r="AH62" s="327"/>
      <c r="AI62" s="327"/>
    </row>
    <row r="63" spans="1:36" x14ac:dyDescent="0.25">
      <c r="B63" s="445" t="s">
        <v>282</v>
      </c>
      <c r="Q63" s="307" t="s">
        <v>17</v>
      </c>
      <c r="R63" s="307" t="s">
        <v>17</v>
      </c>
      <c r="S63" s="307" t="s">
        <v>17</v>
      </c>
      <c r="T63" s="307" t="s">
        <v>17</v>
      </c>
      <c r="U63" s="307" t="s">
        <v>17</v>
      </c>
      <c r="V63" s="292" vm="23">
        <v>0.47</v>
      </c>
      <c r="W63" s="292" vm="24">
        <v>0.43</v>
      </c>
      <c r="X63" s="502" vm="206">
        <v>0.63</v>
      </c>
      <c r="Y63" s="452" vm="363">
        <f t="shared" si="1"/>
        <v>0.67</v>
      </c>
      <c r="Z63" s="452"/>
      <c r="AA63" s="190"/>
      <c r="AB63" s="502" vm="204">
        <v>0.64</v>
      </c>
      <c r="AC63" s="502" vm="201">
        <v>0.65</v>
      </c>
      <c r="AD63" s="502" vm="250">
        <v>0.66</v>
      </c>
      <c r="AE63" s="502" vm="363">
        <v>0.67</v>
      </c>
      <c r="AF63" s="502" vm="522">
        <v>0.67</v>
      </c>
      <c r="AG63" s="327"/>
      <c r="AH63" s="327"/>
      <c r="AI63" s="327"/>
    </row>
    <row r="64" spans="1:36" x14ac:dyDescent="0.25">
      <c r="B64" s="445" t="s">
        <v>283</v>
      </c>
      <c r="Q64" s="307" t="s">
        <v>17</v>
      </c>
      <c r="R64" s="307" t="s">
        <v>17</v>
      </c>
      <c r="S64" s="307" t="s">
        <v>17</v>
      </c>
      <c r="T64" s="307" t="s">
        <v>17</v>
      </c>
      <c r="U64" s="307" t="s">
        <v>17</v>
      </c>
      <c r="V64" s="292" vm="25">
        <v>0.86</v>
      </c>
      <c r="W64" s="292" vm="26">
        <v>0.84</v>
      </c>
      <c r="X64" s="502" vm="470">
        <v>0.84870999999999996</v>
      </c>
      <c r="Y64" s="452" vm="364">
        <f t="shared" si="1"/>
        <v>0.70902799999999999</v>
      </c>
      <c r="Z64" s="452"/>
      <c r="AA64" s="190"/>
      <c r="AB64" s="502" vm="137">
        <v>0.87870599999999999</v>
      </c>
      <c r="AC64" s="502" vm="192">
        <v>0.79147000000000001</v>
      </c>
      <c r="AD64" s="502" vm="238">
        <v>0.76445799999999997</v>
      </c>
      <c r="AE64" s="502" vm="364">
        <v>0.70902799999999999</v>
      </c>
      <c r="AF64" s="502" vm="521">
        <v>0.73801000000000005</v>
      </c>
      <c r="AG64" s="327"/>
      <c r="AH64" s="327"/>
      <c r="AI64" s="327"/>
    </row>
    <row r="65" spans="2:35" x14ac:dyDescent="0.25">
      <c r="B65" s="445" t="s">
        <v>284</v>
      </c>
      <c r="Q65" s="307" t="s">
        <v>17</v>
      </c>
      <c r="R65" s="307" t="s">
        <v>17</v>
      </c>
      <c r="S65" s="307" t="s">
        <v>17</v>
      </c>
      <c r="T65" s="307" t="s">
        <v>17</v>
      </c>
      <c r="U65" s="307" t="s">
        <v>17</v>
      </c>
      <c r="V65" s="292">
        <v>0.15</v>
      </c>
      <c r="W65" s="292" vm="20">
        <v>0.25</v>
      </c>
      <c r="X65" s="502" vm="55">
        <v>0.36463200000000001</v>
      </c>
      <c r="Y65" s="452" vm="365">
        <f t="shared" si="1"/>
        <v>0.41469899999999998</v>
      </c>
      <c r="Z65" s="452"/>
      <c r="AA65" s="190"/>
      <c r="AB65" s="502" vm="133">
        <v>0.35028700000000002</v>
      </c>
      <c r="AC65" s="502" vm="193">
        <v>0.39767400000000003</v>
      </c>
      <c r="AD65" s="502" vm="239">
        <v>0.415489</v>
      </c>
      <c r="AE65" s="502" vm="365">
        <v>0.41469899999999998</v>
      </c>
      <c r="AF65" s="502" vm="523">
        <v>0.39729199999999998</v>
      </c>
      <c r="AG65" s="327"/>
      <c r="AH65" s="327"/>
      <c r="AI65" s="327"/>
    </row>
    <row r="66" spans="2:35" x14ac:dyDescent="0.25">
      <c r="B66" s="446" t="s">
        <v>285</v>
      </c>
      <c r="Q66" s="307" t="s">
        <v>17</v>
      </c>
      <c r="R66" s="307" t="s">
        <v>17</v>
      </c>
      <c r="S66" s="307" t="s">
        <v>17</v>
      </c>
      <c r="T66" s="307" t="s">
        <v>17</v>
      </c>
      <c r="U66" s="307" t="s">
        <v>17</v>
      </c>
      <c r="V66" s="237">
        <v>49.831916395062002</v>
      </c>
      <c r="W66" s="237">
        <v>95.618544687808992</v>
      </c>
      <c r="X66" s="237">
        <v>175.31912809329</v>
      </c>
      <c r="Y66" s="452">
        <f t="shared" si="1"/>
        <v>206.309088887218</v>
      </c>
      <c r="Z66" s="452"/>
      <c r="AB66" s="237">
        <v>25.852652347941998</v>
      </c>
      <c r="AC66" s="237">
        <v>67.111253064599012</v>
      </c>
      <c r="AD66" s="237">
        <v>120.54397775224299</v>
      </c>
      <c r="AE66" s="453">
        <v>206.309088887218</v>
      </c>
      <c r="AF66" s="506">
        <v>27.753352155864</v>
      </c>
      <c r="AG66" s="486"/>
      <c r="AH66" s="486"/>
      <c r="AI66" s="486"/>
    </row>
    <row r="67" spans="2:35" x14ac:dyDescent="0.25">
      <c r="B67" s="447" t="s">
        <v>286</v>
      </c>
      <c r="Q67" s="307" t="s">
        <v>17</v>
      </c>
      <c r="R67" s="307" t="s">
        <v>17</v>
      </c>
      <c r="S67" s="307" t="s">
        <v>17</v>
      </c>
      <c r="T67" s="307" t="s">
        <v>17</v>
      </c>
      <c r="U67" s="307" t="s">
        <v>17</v>
      </c>
      <c r="V67" s="237" vm="11">
        <v>239.14886200000001</v>
      </c>
      <c r="W67" s="237" vm="27">
        <v>320.952562</v>
      </c>
      <c r="X67" s="237" vm="37">
        <v>590.83481200000006</v>
      </c>
      <c r="Y67" s="452" vm="366">
        <f t="shared" si="1"/>
        <v>562.90832799999998</v>
      </c>
      <c r="Z67" s="452"/>
      <c r="AB67" s="237" vm="138">
        <v>459.35247900000002</v>
      </c>
      <c r="AC67" s="237" vm="194">
        <v>469.36704400000002</v>
      </c>
      <c r="AD67" s="237" vm="235">
        <v>546.14644599999997</v>
      </c>
      <c r="AE67" s="506" vm="366">
        <v>562.90832799999998</v>
      </c>
      <c r="AF67" s="506" vm="524">
        <v>427.80857200000003</v>
      </c>
      <c r="AG67" s="486"/>
      <c r="AH67" s="486"/>
      <c r="AI67" s="486"/>
    </row>
    <row r="68" spans="2:35" x14ac:dyDescent="0.25">
      <c r="B68" s="447" t="s">
        <v>287</v>
      </c>
      <c r="Q68" s="307" t="s">
        <v>17</v>
      </c>
      <c r="R68" s="307" t="s">
        <v>17</v>
      </c>
      <c r="S68" s="307" t="s">
        <v>17</v>
      </c>
      <c r="T68" s="307" t="s">
        <v>17</v>
      </c>
      <c r="U68" s="307" t="s">
        <v>17</v>
      </c>
      <c r="V68" s="237" vm="10">
        <v>31</v>
      </c>
      <c r="W68" s="237" vm="13">
        <v>38</v>
      </c>
      <c r="X68" s="237" vm="38">
        <v>42</v>
      </c>
      <c r="Y68" s="452" vm="367">
        <f t="shared" si="1"/>
        <v>42</v>
      </c>
      <c r="Z68" s="452"/>
      <c r="AB68" s="237" vm="139">
        <v>43</v>
      </c>
      <c r="AC68" s="237" vm="195">
        <v>41</v>
      </c>
      <c r="AD68" s="237" vm="240">
        <v>41</v>
      </c>
      <c r="AE68" s="507" vm="367">
        <v>42</v>
      </c>
      <c r="AF68" s="507" vm="525">
        <v>43</v>
      </c>
      <c r="AG68" s="487"/>
      <c r="AH68" s="487"/>
      <c r="AI68" s="487"/>
    </row>
    <row r="69" spans="2:35" x14ac:dyDescent="0.25">
      <c r="B69" s="447" t="s">
        <v>288</v>
      </c>
      <c r="Q69" s="307" t="s">
        <v>17</v>
      </c>
      <c r="R69" s="307" t="s">
        <v>17</v>
      </c>
      <c r="S69" s="307" t="s">
        <v>17</v>
      </c>
      <c r="T69" s="307" t="s">
        <v>17</v>
      </c>
      <c r="U69" s="307" t="s">
        <v>17</v>
      </c>
      <c r="V69" s="237">
        <v>3.84630413</v>
      </c>
      <c r="W69" s="237">
        <v>7.1751003266520001</v>
      </c>
      <c r="X69" s="237">
        <v>10.685009497821</v>
      </c>
      <c r="Y69" s="452">
        <f t="shared" si="1"/>
        <v>16.012403135867</v>
      </c>
      <c r="Z69" s="452"/>
      <c r="AB69" s="237">
        <v>2.9314541600000004</v>
      </c>
      <c r="AC69" s="237">
        <v>7.1239575509339996</v>
      </c>
      <c r="AD69" s="237">
        <v>7.5945505406039997</v>
      </c>
      <c r="AE69" s="453">
        <v>16.012403135867</v>
      </c>
      <c r="AF69" s="506">
        <v>0.15167070999999999</v>
      </c>
      <c r="AG69" s="486"/>
      <c r="AH69" s="486"/>
      <c r="AI69" s="486"/>
    </row>
    <row r="70" spans="2:35" x14ac:dyDescent="0.25">
      <c r="B70" s="447" t="s">
        <v>289</v>
      </c>
      <c r="Q70" s="307" t="s">
        <v>17</v>
      </c>
      <c r="R70" s="307" t="s">
        <v>17</v>
      </c>
      <c r="S70" s="307" t="s">
        <v>17</v>
      </c>
      <c r="T70" s="307" t="s">
        <v>17</v>
      </c>
      <c r="U70" s="307" t="s">
        <v>17</v>
      </c>
      <c r="V70" s="237">
        <v>32.547848100000003</v>
      </c>
      <c r="W70" s="237">
        <v>39.453688159999999</v>
      </c>
      <c r="X70" s="237">
        <v>46.071897077789004</v>
      </c>
      <c r="Y70" s="452">
        <f t="shared" si="1"/>
        <v>48.474400616355005</v>
      </c>
      <c r="Z70" s="452"/>
      <c r="AB70" s="237">
        <v>52.788495987788998</v>
      </c>
      <c r="AC70" s="237">
        <v>40.115786007788998</v>
      </c>
      <c r="AD70" s="237">
        <v>42.426434092073997</v>
      </c>
      <c r="AE70" s="453">
        <v>48.474400616355005</v>
      </c>
      <c r="AF70" s="506">
        <v>48.626071329999995</v>
      </c>
      <c r="AG70" s="486"/>
      <c r="AH70" s="486"/>
      <c r="AI70" s="486"/>
    </row>
  </sheetData>
  <pageMargins left="0.7" right="0.7" top="0.75" bottom="0.75" header="0.3" footer="0.3"/>
  <pageSetup paperSize="8" scale="69"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tabColor rgb="FF8CA7AF"/>
  </sheetPr>
  <dimension ref="A1:AI27"/>
  <sheetViews>
    <sheetView showGridLines="0" zoomScaleNormal="100" workbookViewId="0">
      <selection activeCell="AC18" sqref="AC18"/>
    </sheetView>
  </sheetViews>
  <sheetFormatPr defaultRowHeight="15" x14ac:dyDescent="0.25"/>
  <cols>
    <col min="1" max="1" width="5.5703125" customWidth="1"/>
    <col min="2" max="2" width="31" bestFit="1" customWidth="1"/>
    <col min="3" max="11" width="9.140625" style="78" hidden="1" customWidth="1"/>
    <col min="12" max="16" width="9.140625" customWidth="1"/>
    <col min="31" max="31" width="10.85546875" bestFit="1" customWidth="1"/>
    <col min="32" max="32" width="11.28515625" customWidth="1"/>
  </cols>
  <sheetData>
    <row r="1" spans="1:35" s="223" customFormat="1" ht="5.0999999999999996" customHeight="1" x14ac:dyDescent="0.25">
      <c r="A1"/>
      <c r="B1"/>
      <c r="C1" s="78"/>
      <c r="D1" s="78"/>
      <c r="E1" s="78"/>
      <c r="F1" s="78"/>
      <c r="G1" s="78"/>
      <c r="H1" s="78"/>
      <c r="I1" s="78"/>
      <c r="J1" s="78"/>
      <c r="K1" s="78"/>
    </row>
    <row r="2" spans="1:35" s="223" customFormat="1" ht="30" customHeight="1" x14ac:dyDescent="0.25">
      <c r="A2"/>
      <c r="B2" s="170" t="s">
        <v>1</v>
      </c>
      <c r="C2" s="195"/>
      <c r="D2" s="195"/>
      <c r="E2" s="195"/>
      <c r="F2" s="195"/>
      <c r="G2" s="195"/>
      <c r="H2" s="195"/>
      <c r="I2" s="195"/>
      <c r="J2" s="195"/>
      <c r="K2" s="195"/>
      <c r="L2" s="224"/>
      <c r="M2" s="224"/>
      <c r="N2" s="224"/>
      <c r="O2" s="224"/>
      <c r="P2" s="224"/>
      <c r="Q2" s="224"/>
      <c r="R2" s="224"/>
      <c r="S2" s="224"/>
      <c r="T2" s="224"/>
      <c r="U2" s="224"/>
      <c r="V2" s="225"/>
      <c r="W2" s="225"/>
      <c r="X2" s="225"/>
      <c r="Y2" s="226"/>
      <c r="Z2" s="226"/>
      <c r="AA2" s="226"/>
      <c r="AC2" s="227"/>
      <c r="AD2" s="227"/>
      <c r="AE2" s="227"/>
      <c r="AF2" s="227"/>
    </row>
    <row r="3" spans="1:35" s="223" customFormat="1" x14ac:dyDescent="0.25">
      <c r="A3"/>
      <c r="B3" s="164" t="s">
        <v>2</v>
      </c>
      <c r="C3" s="172"/>
      <c r="D3" s="172"/>
      <c r="E3" s="172"/>
      <c r="F3" s="172"/>
      <c r="G3" s="172"/>
      <c r="H3" s="172"/>
      <c r="I3" s="172"/>
      <c r="J3" s="172"/>
      <c r="K3" s="172"/>
      <c r="L3" s="228">
        <v>2010</v>
      </c>
      <c r="M3" s="228">
        <v>2011</v>
      </c>
      <c r="N3" s="228">
        <v>2012</v>
      </c>
      <c r="O3" s="228">
        <v>2013</v>
      </c>
      <c r="P3" s="228">
        <v>2014</v>
      </c>
      <c r="Q3" s="228">
        <v>2015</v>
      </c>
      <c r="R3" s="228">
        <v>2016</v>
      </c>
      <c r="S3" s="228">
        <v>2017</v>
      </c>
      <c r="T3" s="228">
        <v>2018</v>
      </c>
      <c r="U3" s="228">
        <v>2019</v>
      </c>
      <c r="V3" s="228">
        <v>2020</v>
      </c>
      <c r="W3" s="228">
        <v>2021</v>
      </c>
      <c r="X3" s="228">
        <v>2022</v>
      </c>
      <c r="Y3" s="229">
        <v>2023</v>
      </c>
      <c r="Z3" s="230">
        <v>2024</v>
      </c>
      <c r="AB3" s="231" t="s">
        <v>291</v>
      </c>
      <c r="AC3" s="231" t="s">
        <v>292</v>
      </c>
      <c r="AD3" s="231" t="s">
        <v>293</v>
      </c>
      <c r="AE3" s="231">
        <v>2023</v>
      </c>
      <c r="AF3" s="232" t="s">
        <v>318</v>
      </c>
      <c r="AG3" s="232" t="s">
        <v>319</v>
      </c>
      <c r="AH3" s="233" t="s">
        <v>320</v>
      </c>
      <c r="AI3" s="234">
        <v>2024</v>
      </c>
    </row>
    <row r="4" spans="1:35" s="223" customFormat="1" x14ac:dyDescent="0.25">
      <c r="A4"/>
      <c r="B4" s="6" t="s">
        <v>3</v>
      </c>
      <c r="C4" s="160"/>
      <c r="D4" s="160"/>
      <c r="E4" s="160"/>
      <c r="F4" s="160"/>
      <c r="G4" s="160"/>
      <c r="H4" s="160"/>
      <c r="I4" s="160"/>
      <c r="J4" s="160"/>
      <c r="K4" s="160"/>
    </row>
    <row r="5" spans="1:35" s="223" customFormat="1" x14ac:dyDescent="0.25">
      <c r="A5"/>
      <c r="B5" t="s">
        <v>4</v>
      </c>
      <c r="C5" s="78"/>
      <c r="D5" s="78"/>
      <c r="E5" s="78"/>
      <c r="F5" s="78"/>
      <c r="G5" s="78"/>
      <c r="H5" s="78"/>
      <c r="I5" s="78"/>
      <c r="J5" s="78"/>
      <c r="K5" s="78"/>
      <c r="L5" s="235">
        <v>1.33</v>
      </c>
      <c r="M5" s="235">
        <v>1.39</v>
      </c>
      <c r="N5" s="235">
        <v>1.28</v>
      </c>
      <c r="O5" s="235">
        <v>1.33</v>
      </c>
      <c r="P5" s="235">
        <v>1.33</v>
      </c>
      <c r="Q5" s="235">
        <v>1.1100000000000001</v>
      </c>
      <c r="R5" s="235">
        <v>1.1100000000000001</v>
      </c>
      <c r="S5" s="235">
        <v>1.1299999999999999</v>
      </c>
      <c r="T5" s="235">
        <v>1.18</v>
      </c>
      <c r="U5" s="235">
        <v>1.1200000000000001</v>
      </c>
      <c r="V5" s="235">
        <v>1.1399999999999999</v>
      </c>
      <c r="W5" s="235">
        <v>1.18</v>
      </c>
      <c r="X5" s="235" vm="28">
        <v>1.0530489999999999</v>
      </c>
      <c r="Y5" s="235" vm="272">
        <f>AE5</f>
        <v>1.081269</v>
      </c>
      <c r="Z5" s="235"/>
      <c r="AB5" s="405" vm="65">
        <v>1.0730059999999999</v>
      </c>
      <c r="AC5" s="405" vm="155">
        <v>1.080657</v>
      </c>
      <c r="AD5" s="405" vm="557">
        <v>1.0832919999999999</v>
      </c>
      <c r="AE5" s="405" vm="272">
        <v>1.081269</v>
      </c>
      <c r="AF5" s="405" vm="473">
        <v>1.0857870000000001</v>
      </c>
    </row>
    <row r="6" spans="1:35" s="223" customFormat="1" x14ac:dyDescent="0.25">
      <c r="A6"/>
      <c r="B6" t="s">
        <v>5</v>
      </c>
      <c r="C6" s="78"/>
      <c r="D6" s="78"/>
      <c r="E6" s="78"/>
      <c r="F6" s="78"/>
      <c r="G6" s="78"/>
      <c r="H6" s="78"/>
      <c r="I6" s="78"/>
      <c r="J6" s="78"/>
      <c r="K6" s="78"/>
      <c r="L6" s="235">
        <v>1.34</v>
      </c>
      <c r="M6" s="235">
        <v>1.29</v>
      </c>
      <c r="N6" s="235">
        <v>1.32</v>
      </c>
      <c r="O6" s="235">
        <v>1.38</v>
      </c>
      <c r="P6" s="235">
        <v>1.21</v>
      </c>
      <c r="Q6" s="235">
        <v>1.0900000000000001</v>
      </c>
      <c r="R6" s="235">
        <v>1.05</v>
      </c>
      <c r="S6" s="235">
        <v>1.2</v>
      </c>
      <c r="T6" s="235">
        <v>1.1399999999999999</v>
      </c>
      <c r="U6" s="235">
        <v>1.1200000000000001</v>
      </c>
      <c r="V6" s="235">
        <v>1.23</v>
      </c>
      <c r="W6" s="235">
        <v>1.1299999999999999</v>
      </c>
      <c r="X6" s="235" vm="30">
        <v>1.0666</v>
      </c>
      <c r="Y6" s="235" vm="327">
        <f>AE6</f>
        <v>1.105</v>
      </c>
      <c r="Z6" s="235"/>
      <c r="AB6" s="405" vm="66">
        <v>1.0874999999999999</v>
      </c>
      <c r="AC6" s="405" vm="156">
        <v>1.0866</v>
      </c>
      <c r="AD6" s="405" vm="286">
        <v>1.0593999999999999</v>
      </c>
      <c r="AE6" s="405" vm="327">
        <v>1.105</v>
      </c>
      <c r="AF6" s="405" vm="474">
        <v>1.0810999999999999</v>
      </c>
    </row>
    <row r="7" spans="1:35" s="223" customFormat="1" x14ac:dyDescent="0.25">
      <c r="A7"/>
      <c r="B7"/>
      <c r="C7" s="78"/>
      <c r="D7" s="78"/>
      <c r="E7" s="78"/>
      <c r="F7" s="78"/>
      <c r="G7" s="78"/>
      <c r="H7" s="78"/>
      <c r="I7" s="78"/>
      <c r="J7" s="78"/>
      <c r="K7" s="78"/>
      <c r="AB7" s="333"/>
      <c r="AC7" s="333"/>
      <c r="AD7" s="333"/>
      <c r="AE7" s="333"/>
      <c r="AF7" s="333"/>
    </row>
    <row r="8" spans="1:35" s="223" customFormat="1" x14ac:dyDescent="0.25">
      <c r="A8"/>
      <c r="B8" s="6" t="s">
        <v>6</v>
      </c>
      <c r="C8" s="160"/>
      <c r="D8" s="160"/>
      <c r="E8" s="160"/>
      <c r="F8" s="160"/>
      <c r="G8" s="160"/>
      <c r="H8" s="160"/>
      <c r="I8" s="160"/>
      <c r="J8" s="160"/>
      <c r="K8" s="160"/>
      <c r="AB8" s="333"/>
      <c r="AC8" s="333"/>
      <c r="AD8" s="333"/>
      <c r="AE8" s="333"/>
      <c r="AF8" s="333"/>
    </row>
    <row r="9" spans="1:35" s="223" customFormat="1" x14ac:dyDescent="0.25">
      <c r="A9"/>
      <c r="B9" t="s">
        <v>7</v>
      </c>
      <c r="C9" s="78"/>
      <c r="D9" s="78"/>
      <c r="E9" s="78"/>
      <c r="F9" s="78"/>
      <c r="G9" s="78"/>
      <c r="H9" s="78"/>
      <c r="I9" s="78"/>
      <c r="J9" s="78"/>
      <c r="K9" s="78"/>
      <c r="L9" s="235">
        <v>2.33</v>
      </c>
      <c r="M9" s="235">
        <v>2.33</v>
      </c>
      <c r="N9" s="235">
        <v>2.5099999999999998</v>
      </c>
      <c r="O9" s="235">
        <v>2.87</v>
      </c>
      <c r="P9" s="235">
        <v>3.12</v>
      </c>
      <c r="Q9" s="235">
        <v>3.7</v>
      </c>
      <c r="R9" s="235">
        <v>3.86</v>
      </c>
      <c r="S9" s="235">
        <v>3.6</v>
      </c>
      <c r="T9" s="235">
        <v>4.3099999999999996</v>
      </c>
      <c r="U9" s="235">
        <v>4.41</v>
      </c>
      <c r="V9" s="235">
        <v>5.89</v>
      </c>
      <c r="W9" s="235">
        <v>6.38</v>
      </c>
      <c r="X9" s="235" vm="29">
        <v>5.4399040000000003</v>
      </c>
      <c r="Y9" s="235" vm="326">
        <f>AE9</f>
        <v>5.4010090000000002</v>
      </c>
      <c r="Z9" s="235"/>
      <c r="AB9" s="405" vm="67">
        <v>5.5750489999999999</v>
      </c>
      <c r="AC9" s="405" vm="154">
        <v>5.4826870000000003</v>
      </c>
      <c r="AD9" s="405" vm="444">
        <v>5.4245159999999997</v>
      </c>
      <c r="AE9" s="405" vm="326">
        <v>5.4010090000000002</v>
      </c>
      <c r="AF9" s="405" vm="475">
        <v>5.3752269999999998</v>
      </c>
    </row>
    <row r="10" spans="1:35" s="223" customFormat="1" x14ac:dyDescent="0.25">
      <c r="A10"/>
      <c r="B10" t="s">
        <v>8</v>
      </c>
      <c r="C10" s="78"/>
      <c r="D10" s="78"/>
      <c r="E10" s="78"/>
      <c r="F10" s="78"/>
      <c r="G10" s="78"/>
      <c r="H10" s="78"/>
      <c r="I10" s="78"/>
      <c r="J10" s="78"/>
      <c r="K10" s="78"/>
      <c r="L10" s="235">
        <v>2.42</v>
      </c>
      <c r="M10" s="235">
        <v>2.42</v>
      </c>
      <c r="N10" s="235">
        <v>2.7</v>
      </c>
      <c r="O10" s="235">
        <v>3.26</v>
      </c>
      <c r="P10" s="235">
        <v>3.22</v>
      </c>
      <c r="Q10" s="235">
        <v>4.3099999999999996</v>
      </c>
      <c r="R10" s="235">
        <v>3.43</v>
      </c>
      <c r="S10" s="235">
        <v>3.97</v>
      </c>
      <c r="T10" s="235">
        <v>4.4400000000000004</v>
      </c>
      <c r="U10" s="235">
        <v>4.5199999999999996</v>
      </c>
      <c r="V10" s="235">
        <v>6.37</v>
      </c>
      <c r="W10" s="235">
        <v>6.31</v>
      </c>
      <c r="X10" s="235" vm="31">
        <v>5.6386000000000003</v>
      </c>
      <c r="Y10" s="235" vm="273">
        <f>AE10</f>
        <v>5.3617999999999997</v>
      </c>
      <c r="Z10" s="235"/>
      <c r="AB10" s="405" vm="68">
        <v>5.5157999999999996</v>
      </c>
      <c r="AC10" s="405" vm="157">
        <v>5.2788000000000004</v>
      </c>
      <c r="AD10" s="405" vm="287">
        <v>5.3064999999999998</v>
      </c>
      <c r="AE10" s="405" vm="273">
        <v>5.3617999999999997</v>
      </c>
      <c r="AF10" s="405" vm="476">
        <v>5.4032</v>
      </c>
    </row>
    <row r="11" spans="1:35" s="223" customFormat="1" x14ac:dyDescent="0.25">
      <c r="A11"/>
      <c r="B11"/>
      <c r="C11" s="78"/>
      <c r="D11" s="78"/>
      <c r="E11" s="78"/>
      <c r="F11" s="78"/>
      <c r="G11" s="78"/>
      <c r="H11" s="78"/>
      <c r="I11" s="78"/>
      <c r="J11" s="78"/>
      <c r="K11" s="78"/>
    </row>
    <row r="12" spans="1:35" s="223" customFormat="1" ht="36" x14ac:dyDescent="0.25">
      <c r="A12"/>
      <c r="B12" s="400" t="s">
        <v>9</v>
      </c>
      <c r="C12" s="401"/>
      <c r="D12" s="401"/>
      <c r="E12" s="401"/>
      <c r="F12" s="401"/>
      <c r="G12" s="401"/>
      <c r="H12" s="401"/>
      <c r="I12" s="401"/>
      <c r="J12" s="401"/>
      <c r="K12" s="401"/>
      <c r="L12" s="333"/>
      <c r="M12" s="333"/>
      <c r="N12" s="333"/>
      <c r="O12" s="333"/>
      <c r="P12" s="333"/>
      <c r="Q12" s="333"/>
      <c r="R12" s="333"/>
      <c r="S12" s="333"/>
      <c r="T12" s="333"/>
      <c r="U12" s="333"/>
      <c r="V12" s="333"/>
      <c r="W12" s="333"/>
      <c r="X12" s="333"/>
      <c r="Y12" s="333"/>
      <c r="Z12" s="333"/>
      <c r="AA12" s="333"/>
      <c r="AB12" s="333"/>
      <c r="AC12" s="333"/>
      <c r="AD12" s="333"/>
      <c r="AE12" s="333"/>
    </row>
    <row r="13" spans="1:35" s="223" customFormat="1" x14ac:dyDescent="0.25">
      <c r="A13"/>
      <c r="B13" s="164" t="s">
        <v>9</v>
      </c>
      <c r="C13" s="172"/>
      <c r="D13" s="172"/>
      <c r="E13" s="172"/>
      <c r="F13" s="172"/>
      <c r="G13" s="172"/>
      <c r="H13" s="172"/>
      <c r="I13" s="172"/>
      <c r="J13" s="172"/>
      <c r="K13" s="172"/>
      <c r="L13" s="228">
        <v>2010</v>
      </c>
      <c r="M13" s="228">
        <v>2011</v>
      </c>
      <c r="N13" s="228">
        <v>2012</v>
      </c>
      <c r="O13" s="228">
        <v>2013</v>
      </c>
      <c r="P13" s="228">
        <v>2014</v>
      </c>
      <c r="Q13" s="228">
        <v>2015</v>
      </c>
      <c r="R13" s="228">
        <v>2016</v>
      </c>
      <c r="S13" s="228">
        <v>2017</v>
      </c>
      <c r="T13" s="228">
        <v>2018</v>
      </c>
      <c r="U13" s="228">
        <v>2019</v>
      </c>
      <c r="V13" s="228">
        <v>2020</v>
      </c>
      <c r="W13" s="228">
        <v>2021</v>
      </c>
      <c r="X13" s="228">
        <v>2022</v>
      </c>
      <c r="Y13" s="229">
        <v>2023</v>
      </c>
      <c r="Z13" s="230">
        <v>2024</v>
      </c>
      <c r="AB13" s="231" t="s">
        <v>291</v>
      </c>
      <c r="AC13" s="231" t="s">
        <v>292</v>
      </c>
      <c r="AD13" s="231" t="s">
        <v>293</v>
      </c>
      <c r="AE13" s="231">
        <v>2023</v>
      </c>
      <c r="AF13" s="232" t="s">
        <v>318</v>
      </c>
      <c r="AG13" s="232" t="s">
        <v>319</v>
      </c>
      <c r="AH13" s="233" t="s">
        <v>320</v>
      </c>
      <c r="AI13" s="234">
        <v>2024</v>
      </c>
    </row>
    <row r="14" spans="1:35" s="223" customFormat="1" x14ac:dyDescent="0.25">
      <c r="A14"/>
      <c r="B14" s="402" t="s">
        <v>10</v>
      </c>
      <c r="C14" s="403"/>
      <c r="D14" s="403"/>
      <c r="E14" s="403"/>
      <c r="F14" s="403"/>
      <c r="G14" s="403"/>
      <c r="H14" s="403"/>
      <c r="I14" s="403"/>
      <c r="J14" s="403"/>
      <c r="K14" s="403"/>
      <c r="L14" s="404">
        <f>'Income Statement'!L75</f>
        <v>3656.5377149999999</v>
      </c>
      <c r="M14" s="404">
        <f>'Income Statement'!M75</f>
        <v>3656.5377149999999</v>
      </c>
      <c r="N14" s="404">
        <f>'Income Statement'!N75</f>
        <v>3656.5377149999999</v>
      </c>
      <c r="O14" s="404">
        <f>'Income Statement'!O75</f>
        <v>3656.5377149999999</v>
      </c>
      <c r="P14" s="404">
        <f>'Income Statement'!P75</f>
        <v>3656.5377149999999</v>
      </c>
      <c r="Q14" s="404">
        <f>'Income Statement'!Q75</f>
        <v>3656.5377149999999</v>
      </c>
      <c r="R14" s="404">
        <f>'Income Statement'!R75</f>
        <v>3656.5377149999999</v>
      </c>
      <c r="S14" s="404">
        <f>'Income Statement'!S75</f>
        <v>3656.5377149999999</v>
      </c>
      <c r="T14" s="404">
        <f>'Income Statement'!T75</f>
        <v>3656.5377149999999</v>
      </c>
      <c r="U14" s="404">
        <f>'Income Statement'!U75</f>
        <v>3656.5377149999999</v>
      </c>
      <c r="V14" s="404">
        <f>'Income Statement'!V75</f>
        <v>3965.681012</v>
      </c>
      <c r="W14" s="404">
        <f>'Income Statement'!W75</f>
        <v>3965.681012</v>
      </c>
      <c r="X14" s="404">
        <f>'Income Statement'!X75</f>
        <v>3965.681012</v>
      </c>
      <c r="Y14" s="404">
        <f>'Income Statement'!Y75</f>
        <v>4184.0209999999997</v>
      </c>
      <c r="Z14" s="404"/>
      <c r="AA14" s="404"/>
      <c r="AB14" s="237">
        <f>'Income Statement'!AB75</f>
        <v>4184.0209999999997</v>
      </c>
      <c r="AC14" s="237">
        <f>'Income Statement'!AC75</f>
        <v>4184.0209999999997</v>
      </c>
      <c r="AD14" s="404">
        <f>'Income Statement'!AD75</f>
        <v>4184.0209999999997</v>
      </c>
      <c r="AE14" s="404">
        <f>'Income Statement'!AE75</f>
        <v>4184.0209999999997</v>
      </c>
      <c r="AF14" s="404">
        <f>'Income Statement'!AF75</f>
        <v>4184.021624</v>
      </c>
    </row>
    <row r="15" spans="1:35" s="223" customFormat="1" x14ac:dyDescent="0.25">
      <c r="A15"/>
      <c r="B15" s="209" t="s">
        <v>11</v>
      </c>
      <c r="C15" s="401"/>
      <c r="D15" s="401"/>
      <c r="E15" s="401"/>
      <c r="F15" s="401"/>
      <c r="G15" s="401"/>
      <c r="H15" s="401"/>
      <c r="I15" s="401"/>
      <c r="J15" s="401"/>
      <c r="K15" s="401"/>
      <c r="L15" s="407" t="s">
        <v>17</v>
      </c>
      <c r="M15" s="407" t="s">
        <v>17</v>
      </c>
      <c r="N15" s="404">
        <v>31.904523000000001</v>
      </c>
      <c r="O15" s="404">
        <v>27.597268</v>
      </c>
      <c r="P15" s="404">
        <v>23.257999999999999</v>
      </c>
      <c r="Q15" s="404">
        <v>21.424972</v>
      </c>
      <c r="R15" s="404">
        <v>21.384398000000001</v>
      </c>
      <c r="S15" s="404">
        <v>21.906324000000001</v>
      </c>
      <c r="T15" s="404">
        <v>21.771965999999999</v>
      </c>
      <c r="U15" s="404">
        <v>21.405346999999999</v>
      </c>
      <c r="V15" s="404">
        <v>19.600000000000001</v>
      </c>
      <c r="W15" s="404">
        <v>19.103158000000001</v>
      </c>
      <c r="X15" s="404">
        <v>18.616167000000001</v>
      </c>
      <c r="Y15" s="404">
        <f>AE15</f>
        <v>22.448920000000001</v>
      </c>
      <c r="Z15" s="404"/>
      <c r="AA15" s="404"/>
      <c r="AB15" s="404">
        <v>18.616167000000001</v>
      </c>
      <c r="AC15" s="404">
        <v>18.616167000000001</v>
      </c>
      <c r="AD15" s="404">
        <v>18.024367000000002</v>
      </c>
      <c r="AE15" s="404">
        <v>22.448920000000001</v>
      </c>
      <c r="AF15" s="404">
        <v>22.046182999999999</v>
      </c>
    </row>
    <row r="16" spans="1:35" s="223" customFormat="1" x14ac:dyDescent="0.25">
      <c r="A16"/>
      <c r="B16" s="209"/>
      <c r="C16" s="401"/>
      <c r="D16" s="401"/>
      <c r="E16" s="401"/>
      <c r="F16" s="401"/>
      <c r="G16" s="401"/>
      <c r="H16" s="401"/>
      <c r="I16" s="401"/>
      <c r="J16" s="401"/>
      <c r="K16" s="401"/>
      <c r="L16" s="405"/>
      <c r="M16" s="405"/>
      <c r="N16" s="405"/>
      <c r="O16" s="405"/>
      <c r="P16" s="405"/>
      <c r="Q16" s="405"/>
      <c r="R16" s="405"/>
      <c r="S16" s="405"/>
      <c r="T16" s="405"/>
      <c r="U16" s="405"/>
      <c r="V16" s="333"/>
      <c r="W16" s="333"/>
      <c r="X16" s="333"/>
      <c r="Y16" s="333"/>
      <c r="Z16" s="333"/>
      <c r="AA16" s="333"/>
      <c r="AB16" s="405"/>
      <c r="AC16" s="405"/>
      <c r="AD16" s="405"/>
      <c r="AE16" s="333"/>
    </row>
    <row r="17" spans="1:32" s="223" customFormat="1" x14ac:dyDescent="0.25">
      <c r="A17"/>
      <c r="B17" s="209" t="s">
        <v>252</v>
      </c>
      <c r="C17" s="401"/>
      <c r="D17" s="401"/>
      <c r="E17" s="401"/>
      <c r="F17" s="401"/>
      <c r="G17" s="401"/>
      <c r="H17" s="401"/>
      <c r="I17" s="401"/>
      <c r="J17" s="401"/>
      <c r="K17" s="401"/>
      <c r="L17" s="404">
        <f t="shared" ref="L17:U17" si="0">872308162/1000000</f>
        <v>872.30816200000004</v>
      </c>
      <c r="M17" s="404">
        <f t="shared" si="0"/>
        <v>872.30816200000004</v>
      </c>
      <c r="N17" s="404">
        <f t="shared" si="0"/>
        <v>872.30816200000004</v>
      </c>
      <c r="O17" s="404">
        <f t="shared" si="0"/>
        <v>872.30816200000004</v>
      </c>
      <c r="P17" s="404">
        <f t="shared" si="0"/>
        <v>872.30816200000004</v>
      </c>
      <c r="Q17" s="404">
        <f t="shared" si="0"/>
        <v>872.30816200000004</v>
      </c>
      <c r="R17" s="404">
        <f t="shared" si="0"/>
        <v>872.30816200000004</v>
      </c>
      <c r="S17" s="404">
        <f t="shared" si="0"/>
        <v>872.30816200000004</v>
      </c>
      <c r="T17" s="404">
        <f t="shared" si="0"/>
        <v>872.30816200000004</v>
      </c>
      <c r="U17" s="404">
        <f t="shared" si="0"/>
        <v>872.30816200000004</v>
      </c>
      <c r="V17" s="404">
        <f>872308162/1000000</f>
        <v>872.30816200000004</v>
      </c>
      <c r="W17" s="404">
        <f>960558162/1000000</f>
        <v>960.55816200000004</v>
      </c>
      <c r="X17" s="404">
        <v>960.55816200000004</v>
      </c>
      <c r="Y17" s="404">
        <f>AE17</f>
        <v>1023.978101</v>
      </c>
      <c r="Z17" s="497"/>
      <c r="AA17" s="333"/>
      <c r="AB17" s="404">
        <f>(960558162/1000000)+50968400/1000000</f>
        <v>1011.526562</v>
      </c>
      <c r="AC17" s="7">
        <f>1023978101/1000000</f>
        <v>1023.978101</v>
      </c>
      <c r="AD17" s="7">
        <f>1023978101/1000000</f>
        <v>1023.978101</v>
      </c>
      <c r="AE17" s="7">
        <f>1023978101/1000000</f>
        <v>1023.978101</v>
      </c>
      <c r="AF17" s="7">
        <f>1023978101/1000000</f>
        <v>1023.978101</v>
      </c>
    </row>
    <row r="18" spans="1:32" s="223" customFormat="1" x14ac:dyDescent="0.25">
      <c r="A18"/>
      <c r="B18" s="402" t="s">
        <v>13</v>
      </c>
      <c r="C18" s="403"/>
      <c r="D18" s="403"/>
      <c r="E18" s="403"/>
      <c r="F18" s="403"/>
      <c r="G18" s="403"/>
      <c r="H18" s="403"/>
      <c r="I18" s="403"/>
      <c r="J18" s="403"/>
      <c r="K18" s="403"/>
      <c r="L18" s="404">
        <f t="shared" ref="L18:Q18" si="1">L17*L19</f>
        <v>676.30051799860007</v>
      </c>
      <c r="M18" s="404">
        <f t="shared" si="1"/>
        <v>676.30051799860007</v>
      </c>
      <c r="N18" s="404">
        <f t="shared" si="1"/>
        <v>676.30051799860007</v>
      </c>
      <c r="O18" s="404">
        <f t="shared" si="1"/>
        <v>676.30051799860007</v>
      </c>
      <c r="P18" s="404">
        <f t="shared" si="1"/>
        <v>676.30051799860007</v>
      </c>
      <c r="Q18" s="404">
        <f t="shared" si="1"/>
        <v>676.30051799860007</v>
      </c>
      <c r="R18" s="404">
        <f>R17*R19</f>
        <v>676.30051799860007</v>
      </c>
      <c r="S18" s="404">
        <f>720191372/1000000</f>
        <v>720.191372</v>
      </c>
      <c r="T18" s="404">
        <f>720191372/1000000</f>
        <v>720.191372</v>
      </c>
      <c r="U18" s="404">
        <f>720191372/1000000</f>
        <v>720.191372</v>
      </c>
      <c r="V18" s="404">
        <f>720191372/1000000</f>
        <v>720.191372</v>
      </c>
      <c r="W18" s="404">
        <f>720191372/1000000</f>
        <v>720.191372</v>
      </c>
      <c r="X18" s="404">
        <v>720.191372</v>
      </c>
      <c r="Y18" s="404">
        <f>AE18</f>
        <v>729.79392199999995</v>
      </c>
      <c r="Z18" s="404"/>
      <c r="AA18" s="333"/>
      <c r="AB18" s="237">
        <f t="shared" ref="AB18" si="2">720191372/1000000</f>
        <v>720.191372</v>
      </c>
      <c r="AC18" s="7">
        <f>729793922/1000000</f>
        <v>729.79392199999995</v>
      </c>
      <c r="AD18" s="7">
        <f>729793922/1000000</f>
        <v>729.79392199999995</v>
      </c>
      <c r="AE18" s="7">
        <f>729793922/1000000</f>
        <v>729.79392199999995</v>
      </c>
      <c r="AF18" s="7">
        <f>729793922/1000000</f>
        <v>729.79392199999995</v>
      </c>
    </row>
    <row r="19" spans="1:32" s="223" customFormat="1" x14ac:dyDescent="0.25">
      <c r="A19"/>
      <c r="B19" s="209" t="s">
        <v>14</v>
      </c>
      <c r="C19" s="401"/>
      <c r="D19" s="401"/>
      <c r="E19" s="401"/>
      <c r="F19" s="401"/>
      <c r="G19" s="401"/>
      <c r="H19" s="401"/>
      <c r="I19" s="401"/>
      <c r="J19" s="401"/>
      <c r="K19" s="401"/>
      <c r="L19" s="327">
        <v>0.77529999999999999</v>
      </c>
      <c r="M19" s="327">
        <v>0.77529999999999999</v>
      </c>
      <c r="N19" s="327">
        <v>0.77529999999999999</v>
      </c>
      <c r="O19" s="327">
        <v>0.77529999999999999</v>
      </c>
      <c r="P19" s="327">
        <v>0.77529999999999999</v>
      </c>
      <c r="Q19" s="327">
        <v>0.77529999999999999</v>
      </c>
      <c r="R19" s="327">
        <v>0.77529999999999999</v>
      </c>
      <c r="S19" s="327">
        <v>0.82599999999999996</v>
      </c>
      <c r="T19" s="327">
        <f t="shared" ref="T19:W19" si="3">T18/T17</f>
        <v>0.82561576673634285</v>
      </c>
      <c r="U19" s="327">
        <f t="shared" si="3"/>
        <v>0.82561576673634285</v>
      </c>
      <c r="V19" s="327">
        <f t="shared" si="3"/>
        <v>0.82561576673634285</v>
      </c>
      <c r="W19" s="327">
        <f t="shared" si="3"/>
        <v>0.74976341932327462</v>
      </c>
      <c r="X19" s="500">
        <v>0.74976341932327462</v>
      </c>
      <c r="Y19" s="500">
        <f>Y18/Y17</f>
        <v>0.71270461867035562</v>
      </c>
      <c r="Z19" s="496"/>
      <c r="AA19" s="333"/>
      <c r="AB19" s="406">
        <f>AB18/AB17</f>
        <v>0.71198463693927194</v>
      </c>
      <c r="AC19" s="499">
        <f>AC18/AC17</f>
        <v>0.71270461867035562</v>
      </c>
      <c r="AD19" s="499">
        <f>AD18/AD17</f>
        <v>0.71270461867035562</v>
      </c>
      <c r="AE19" s="499">
        <f>AE18/AE17</f>
        <v>0.71270461867035562</v>
      </c>
      <c r="AF19" s="499">
        <f>AF18/AF17</f>
        <v>0.71270461867035562</v>
      </c>
    </row>
    <row r="20" spans="1:32" s="223" customFormat="1" x14ac:dyDescent="0.25">
      <c r="A20"/>
      <c r="B20" s="209"/>
      <c r="C20" s="401"/>
      <c r="D20" s="401"/>
      <c r="E20" s="401"/>
      <c r="F20" s="401"/>
      <c r="G20" s="401"/>
      <c r="H20" s="401"/>
      <c r="I20" s="401"/>
      <c r="J20" s="401"/>
      <c r="K20" s="401"/>
      <c r="L20" s="405"/>
      <c r="M20" s="405"/>
      <c r="N20" s="405"/>
      <c r="O20" s="405"/>
      <c r="P20" s="405"/>
      <c r="Q20" s="405"/>
      <c r="R20" s="405"/>
      <c r="S20" s="405"/>
      <c r="T20" s="405"/>
      <c r="U20" s="405"/>
      <c r="V20" s="333"/>
      <c r="W20" s="333"/>
      <c r="X20" s="333"/>
      <c r="Y20" s="333"/>
      <c r="Z20" s="333"/>
      <c r="AA20" s="333"/>
      <c r="AB20" s="333"/>
      <c r="AC20" s="333"/>
      <c r="AD20" s="333"/>
    </row>
    <row r="21" spans="1:32" s="223" customFormat="1" x14ac:dyDescent="0.25">
      <c r="A21"/>
      <c r="B21" s="209" t="s">
        <v>12</v>
      </c>
      <c r="C21" s="401"/>
      <c r="D21" s="401"/>
      <c r="E21" s="401"/>
      <c r="F21" s="401"/>
      <c r="G21" s="401"/>
      <c r="H21" s="401"/>
      <c r="I21" s="401"/>
      <c r="J21" s="401"/>
      <c r="K21" s="401"/>
      <c r="L21" s="404">
        <v>158.805204</v>
      </c>
      <c r="M21" s="404">
        <v>158.805204</v>
      </c>
      <c r="N21" s="404">
        <v>476.41561200000001</v>
      </c>
      <c r="O21" s="404">
        <v>476.41561200000001</v>
      </c>
      <c r="P21" s="404">
        <v>476.41561200000001</v>
      </c>
      <c r="Q21" s="404">
        <v>476.41561200000001</v>
      </c>
      <c r="R21" s="404">
        <f t="shared" ref="R21:U21" si="4">606850394/1000000</f>
        <v>606.85039400000005</v>
      </c>
      <c r="S21" s="404">
        <f t="shared" si="4"/>
        <v>606.85039400000005</v>
      </c>
      <c r="T21" s="404">
        <f t="shared" si="4"/>
        <v>606.85039400000005</v>
      </c>
      <c r="U21" s="404">
        <f t="shared" si="4"/>
        <v>606.85039400000005</v>
      </c>
      <c r="V21" s="404">
        <f>606850394/1000000</f>
        <v>606.85039400000005</v>
      </c>
      <c r="W21" s="404">
        <f>581165268/1000000</f>
        <v>581.16526799999997</v>
      </c>
      <c r="X21" s="404">
        <v>581.16526799999997</v>
      </c>
      <c r="Y21" s="404">
        <f>AE21</f>
        <v>581.16526799999997</v>
      </c>
      <c r="Z21" s="404"/>
      <c r="AA21" s="333"/>
      <c r="AB21" s="404">
        <v>581.16526799999997</v>
      </c>
      <c r="AC21" s="404">
        <v>581.16526799999997</v>
      </c>
      <c r="AD21" s="407">
        <v>581.16526799999997</v>
      </c>
      <c r="AE21" s="407">
        <v>581.16526799999997</v>
      </c>
      <c r="AF21" s="404">
        <v>581.16526799999997</v>
      </c>
    </row>
    <row r="22" spans="1:32" s="223" customFormat="1" x14ac:dyDescent="0.25">
      <c r="A22"/>
      <c r="B22" s="402" t="s">
        <v>13</v>
      </c>
      <c r="C22" s="401"/>
      <c r="D22" s="401"/>
      <c r="E22" s="401"/>
      <c r="F22" s="401"/>
      <c r="G22" s="401"/>
      <c r="H22" s="401"/>
      <c r="I22" s="401"/>
      <c r="J22" s="401"/>
      <c r="K22" s="401"/>
      <c r="L22" s="404">
        <v>102.90211499999999</v>
      </c>
      <c r="M22" s="404">
        <v>80.990655000000004</v>
      </c>
      <c r="N22" s="404">
        <v>242.97196500000001</v>
      </c>
      <c r="O22" s="404">
        <v>242.97196500000001</v>
      </c>
      <c r="P22" s="404">
        <v>242.97196500000001</v>
      </c>
      <c r="Q22" s="404">
        <v>242.97196500000001</v>
      </c>
      <c r="R22" s="404">
        <v>310.76989400000002</v>
      </c>
      <c r="S22" s="404">
        <v>310.76989400000002</v>
      </c>
      <c r="T22" s="404">
        <v>310.76989400000002</v>
      </c>
      <c r="U22" s="404">
        <v>310.76989400000002</v>
      </c>
      <c r="V22" s="404">
        <v>319.444794</v>
      </c>
      <c r="W22" s="404">
        <v>322.794194</v>
      </c>
      <c r="X22" s="404">
        <v>325.72599400000001</v>
      </c>
      <c r="Y22" s="404">
        <f>AE22</f>
        <v>581.16526799999997</v>
      </c>
      <c r="Z22" s="404"/>
      <c r="AA22" s="333"/>
      <c r="AB22" s="404">
        <v>325.72599400000001</v>
      </c>
      <c r="AC22" s="404">
        <v>325.72599400000001</v>
      </c>
      <c r="AD22" s="407">
        <v>581.16526799999997</v>
      </c>
      <c r="AE22" s="407">
        <v>581.16526799999997</v>
      </c>
      <c r="AF22" s="404">
        <v>581.16526799999997</v>
      </c>
    </row>
    <row r="23" spans="1:32" s="223" customFormat="1" x14ac:dyDescent="0.25">
      <c r="A23"/>
      <c r="B23" s="209" t="s">
        <v>14</v>
      </c>
      <c r="C23" s="401"/>
      <c r="D23" s="401"/>
      <c r="E23" s="401"/>
      <c r="F23" s="401"/>
      <c r="G23" s="401"/>
      <c r="H23" s="401"/>
      <c r="I23" s="401"/>
      <c r="J23" s="401"/>
      <c r="K23" s="401"/>
      <c r="L23" s="327">
        <f t="shared" ref="L23:Q23" si="5">L22/L21</f>
        <v>0.64797697057836967</v>
      </c>
      <c r="M23" s="327">
        <f t="shared" si="5"/>
        <v>0.51000000604514195</v>
      </c>
      <c r="N23" s="327">
        <f t="shared" si="5"/>
        <v>0.51000000604514195</v>
      </c>
      <c r="O23" s="327">
        <f t="shared" si="5"/>
        <v>0.51000000604514195</v>
      </c>
      <c r="P23" s="327">
        <f t="shared" si="5"/>
        <v>0.51000000604514195</v>
      </c>
      <c r="Q23" s="327">
        <f t="shared" si="5"/>
        <v>0.51000000604514195</v>
      </c>
      <c r="R23" s="327">
        <f t="shared" ref="R23:T23" si="6">R22/R21</f>
        <v>0.51210297805294003</v>
      </c>
      <c r="S23" s="327">
        <f t="shared" si="6"/>
        <v>0.51210297805294003</v>
      </c>
      <c r="T23" s="327">
        <f t="shared" si="6"/>
        <v>0.51210297805294003</v>
      </c>
      <c r="U23" s="327">
        <f>U22/U21</f>
        <v>0.51210297805294003</v>
      </c>
      <c r="V23" s="327">
        <f>V22/V21</f>
        <v>0.52639793457891371</v>
      </c>
      <c r="W23" s="327">
        <f>W22/W21</f>
        <v>0.55542581735975316</v>
      </c>
      <c r="X23" s="327">
        <v>0.5604705097414735</v>
      </c>
      <c r="Y23" s="327">
        <f>Y22/Y21</f>
        <v>1</v>
      </c>
      <c r="Z23" s="327"/>
      <c r="AA23" s="333"/>
      <c r="AB23" s="292">
        <f>AB22/AB21</f>
        <v>0.5604705097414735</v>
      </c>
      <c r="AC23" s="292">
        <f>AC22/AC21</f>
        <v>0.5604705097414735</v>
      </c>
      <c r="AD23" s="491">
        <f>AD22/AD21</f>
        <v>1</v>
      </c>
      <c r="AE23" s="491">
        <f>AE22/AE21</f>
        <v>1</v>
      </c>
      <c r="AF23" s="491">
        <f>AF22/AF21</f>
        <v>1</v>
      </c>
    </row>
    <row r="24" spans="1:32" s="223" customFormat="1" x14ac:dyDescent="0.25">
      <c r="A24"/>
      <c r="B24"/>
      <c r="C24" s="78"/>
      <c r="D24" s="78"/>
      <c r="E24" s="78"/>
      <c r="F24" s="78"/>
      <c r="G24" s="78"/>
      <c r="H24" s="78"/>
      <c r="I24" s="78"/>
      <c r="J24" s="78"/>
      <c r="K24" s="78"/>
    </row>
    <row r="25" spans="1:32" x14ac:dyDescent="0.25">
      <c r="AE25" s="7"/>
    </row>
    <row r="26" spans="1:32" x14ac:dyDescent="0.25">
      <c r="AE26" s="7"/>
      <c r="AF26" s="524"/>
    </row>
    <row r="27" spans="1:32" x14ac:dyDescent="0.25">
      <c r="AE27" s="49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tabColor rgb="FF8CA7AF"/>
  </sheetPr>
  <dimension ref="B1:AT86"/>
  <sheetViews>
    <sheetView showGridLines="0" zoomScale="80" zoomScaleNormal="80" workbookViewId="0">
      <pane xSplit="2" ySplit="3" topLeftCell="P4" activePane="bottomRight" state="frozen"/>
      <selection activeCell="B2" sqref="B2"/>
      <selection pane="topRight" activeCell="B2" sqref="B2"/>
      <selection pane="bottomLeft" activeCell="B2" sqref="B2"/>
      <selection pane="bottomRight" activeCell="B100" sqref="B100"/>
    </sheetView>
  </sheetViews>
  <sheetFormatPr defaultRowHeight="15" customHeight="1" outlineLevelRow="1" x14ac:dyDescent="0.25"/>
  <cols>
    <col min="1" max="1" width="5.5703125" customWidth="1"/>
    <col min="2" max="2" width="43.42578125" customWidth="1"/>
    <col min="3" max="16" width="9.140625" style="223" customWidth="1"/>
    <col min="17" max="26" width="9.5703125" style="223" customWidth="1"/>
    <col min="27" max="30" width="9.140625" style="223" customWidth="1"/>
    <col min="31" max="31" width="8.7109375" style="223"/>
    <col min="32" max="34" width="9.140625" style="223" customWidth="1"/>
    <col min="35" max="35" width="8.7109375" style="223"/>
    <col min="36" max="36" width="10.140625" style="223" customWidth="1"/>
    <col min="37" max="44" width="9.140625" style="223" customWidth="1"/>
    <col min="45" max="45" width="9.140625" style="223"/>
  </cols>
  <sheetData>
    <row r="1" spans="2:46" ht="5.0999999999999996" customHeight="1" x14ac:dyDescent="0.25">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row>
    <row r="2" spans="2:46" ht="30" customHeight="1" x14ac:dyDescent="0.25">
      <c r="B2" s="170" t="s">
        <v>15</v>
      </c>
      <c r="C2" s="224"/>
      <c r="D2" s="224"/>
      <c r="E2" s="224"/>
      <c r="F2" s="224"/>
      <c r="G2" s="224"/>
      <c r="H2" s="224"/>
      <c r="I2" s="224"/>
      <c r="J2" s="224"/>
      <c r="K2" s="224"/>
      <c r="L2" s="225"/>
      <c r="M2" s="225"/>
      <c r="N2" s="237"/>
      <c r="O2" s="237"/>
      <c r="P2" s="237"/>
      <c r="Q2" s="237"/>
      <c r="R2" s="237"/>
      <c r="T2" s="227"/>
      <c r="U2" s="227"/>
      <c r="V2" s="227"/>
      <c r="W2" s="227">
        <v>0</v>
      </c>
      <c r="X2" s="227">
        <v>0</v>
      </c>
      <c r="Y2" s="227"/>
      <c r="Z2" s="227"/>
    </row>
    <row r="3" spans="2:46" ht="15" customHeight="1" x14ac:dyDescent="0.25">
      <c r="B3" s="165" t="s">
        <v>15</v>
      </c>
      <c r="C3" s="228">
        <v>2001</v>
      </c>
      <c r="D3" s="228">
        <v>2002</v>
      </c>
      <c r="E3" s="228">
        <v>2003</v>
      </c>
      <c r="F3" s="228">
        <v>2004</v>
      </c>
      <c r="G3" s="228">
        <v>2005</v>
      </c>
      <c r="H3" s="228">
        <v>2006</v>
      </c>
      <c r="I3" s="228">
        <v>2007</v>
      </c>
      <c r="J3" s="228">
        <v>2008</v>
      </c>
      <c r="K3" s="228">
        <v>2009</v>
      </c>
      <c r="L3" s="228">
        <v>2010</v>
      </c>
      <c r="M3" s="228">
        <v>2011</v>
      </c>
      <c r="N3" s="228">
        <v>2012</v>
      </c>
      <c r="O3" s="228">
        <v>2013</v>
      </c>
      <c r="P3" s="228">
        <v>2014</v>
      </c>
      <c r="Q3" s="228">
        <v>2015</v>
      </c>
      <c r="R3" s="228">
        <v>2016</v>
      </c>
      <c r="S3" s="228">
        <v>2017</v>
      </c>
      <c r="T3" s="228">
        <v>2018</v>
      </c>
      <c r="U3" s="228">
        <v>2019</v>
      </c>
      <c r="V3" s="228">
        <v>2020</v>
      </c>
      <c r="W3" s="228">
        <v>2021</v>
      </c>
      <c r="X3" s="228">
        <v>2022</v>
      </c>
      <c r="Y3" s="229">
        <v>2023</v>
      </c>
      <c r="Z3" s="230">
        <v>2024</v>
      </c>
      <c r="AA3" s="237"/>
      <c r="AB3" s="231" t="s">
        <v>291</v>
      </c>
      <c r="AC3" s="231" t="s">
        <v>292</v>
      </c>
      <c r="AD3" s="231" t="s">
        <v>293</v>
      </c>
      <c r="AE3" s="231">
        <v>2023</v>
      </c>
      <c r="AF3" s="232" t="s">
        <v>318</v>
      </c>
      <c r="AG3" s="232" t="s">
        <v>319</v>
      </c>
      <c r="AH3" s="232" t="s">
        <v>320</v>
      </c>
      <c r="AI3" s="232">
        <v>2024</v>
      </c>
      <c r="AK3" s="231" t="s">
        <v>291</v>
      </c>
      <c r="AL3" s="231" t="s">
        <v>296</v>
      </c>
      <c r="AM3" s="231" t="s">
        <v>294</v>
      </c>
      <c r="AN3" s="231" t="s">
        <v>295</v>
      </c>
      <c r="AO3" s="232" t="s">
        <v>318</v>
      </c>
      <c r="AP3" s="232" t="s">
        <v>321</v>
      </c>
      <c r="AQ3" s="232" t="s">
        <v>322</v>
      </c>
      <c r="AR3" s="232" t="s">
        <v>323</v>
      </c>
    </row>
    <row r="4" spans="2:46" ht="15" customHeight="1" x14ac:dyDescent="0.25">
      <c r="B4" t="s">
        <v>16</v>
      </c>
      <c r="C4" s="238" t="s">
        <v>17</v>
      </c>
      <c r="D4" s="238" t="s">
        <v>17</v>
      </c>
      <c r="E4" s="238" t="s">
        <v>17</v>
      </c>
      <c r="F4" s="238" t="s">
        <v>17</v>
      </c>
      <c r="G4" s="238" t="s">
        <v>17</v>
      </c>
      <c r="H4" s="238" t="s">
        <v>17</v>
      </c>
      <c r="I4" s="238" t="s">
        <v>17</v>
      </c>
      <c r="J4" s="238" t="s">
        <v>17</v>
      </c>
      <c r="K4" s="238" t="s">
        <v>17</v>
      </c>
      <c r="L4" s="238" t="s">
        <v>17</v>
      </c>
      <c r="M4" s="238" t="s">
        <v>17</v>
      </c>
      <c r="N4" s="238" t="s">
        <v>17</v>
      </c>
      <c r="O4" s="238" t="s">
        <v>17</v>
      </c>
      <c r="P4" s="238" t="s">
        <v>17</v>
      </c>
      <c r="Q4" s="237">
        <v>15517</v>
      </c>
      <c r="R4" s="237">
        <v>14595</v>
      </c>
      <c r="S4" s="237">
        <v>15746</v>
      </c>
      <c r="T4" s="237">
        <v>15278.085902243063</v>
      </c>
      <c r="U4" s="237">
        <v>14333.008747377571</v>
      </c>
      <c r="V4" s="237">
        <v>12448.204728787994</v>
      </c>
      <c r="W4" s="237">
        <v>14982.909467325995</v>
      </c>
      <c r="X4" s="237">
        <v>20650.764386505634</v>
      </c>
      <c r="Y4" s="237">
        <f>AE4</f>
        <v>16202.307922757625</v>
      </c>
      <c r="Z4" s="237"/>
      <c r="AA4" s="237"/>
      <c r="AB4" s="237">
        <v>4483.505343067528</v>
      </c>
      <c r="AC4" s="237">
        <v>8245.3604827433028</v>
      </c>
      <c r="AD4" s="237">
        <v>12258.26535104856</v>
      </c>
      <c r="AE4" s="237">
        <v>16202.307922757625</v>
      </c>
      <c r="AF4" s="237">
        <v>3758.8404518264565</v>
      </c>
      <c r="AG4" s="237"/>
      <c r="AH4" s="237"/>
      <c r="AI4" s="237"/>
      <c r="AK4" s="237">
        <f>AB4</f>
        <v>4483.505343067528</v>
      </c>
      <c r="AL4" s="237">
        <f>AC4-AB4</f>
        <v>3761.8551396757748</v>
      </c>
      <c r="AM4" s="237">
        <f>AD4-AC4</f>
        <v>4012.904868305257</v>
      </c>
      <c r="AN4" s="237">
        <f>AE4-AD4</f>
        <v>3944.0425717090657</v>
      </c>
      <c r="AO4" s="237">
        <f>AF4</f>
        <v>3758.8404518264565</v>
      </c>
      <c r="AP4" s="237"/>
      <c r="AQ4" s="237"/>
      <c r="AR4" s="237"/>
      <c r="AT4" s="64"/>
    </row>
    <row r="5" spans="2:46" s="64" customFormat="1" ht="15" customHeight="1" x14ac:dyDescent="0.25">
      <c r="B5" s="194" t="s">
        <v>18</v>
      </c>
      <c r="C5" s="239" t="str">
        <f t="shared" ref="C5:X5" si="0">IFERROR(C4/B4-1,"-")</f>
        <v>-</v>
      </c>
      <c r="D5" s="239" t="str">
        <f t="shared" si="0"/>
        <v>-</v>
      </c>
      <c r="E5" s="239" t="str">
        <f t="shared" si="0"/>
        <v>-</v>
      </c>
      <c r="F5" s="239" t="str">
        <f t="shared" si="0"/>
        <v>-</v>
      </c>
      <c r="G5" s="239" t="str">
        <f t="shared" si="0"/>
        <v>-</v>
      </c>
      <c r="H5" s="239" t="str">
        <f t="shared" si="0"/>
        <v>-</v>
      </c>
      <c r="I5" s="239" t="str">
        <f t="shared" si="0"/>
        <v>-</v>
      </c>
      <c r="J5" s="239" t="str">
        <f t="shared" si="0"/>
        <v>-</v>
      </c>
      <c r="K5" s="239" t="str">
        <f t="shared" si="0"/>
        <v>-</v>
      </c>
      <c r="L5" s="239" t="str">
        <f t="shared" si="0"/>
        <v>-</v>
      </c>
      <c r="M5" s="239" t="str">
        <f t="shared" si="0"/>
        <v>-</v>
      </c>
      <c r="N5" s="239" t="str">
        <f t="shared" si="0"/>
        <v>-</v>
      </c>
      <c r="O5" s="239" t="str">
        <f t="shared" si="0"/>
        <v>-</v>
      </c>
      <c r="P5" s="239" t="str">
        <f t="shared" si="0"/>
        <v>-</v>
      </c>
      <c r="Q5" s="239" t="str">
        <f t="shared" si="0"/>
        <v>-</v>
      </c>
      <c r="R5" s="239">
        <f t="shared" si="0"/>
        <v>-5.9418702068698814E-2</v>
      </c>
      <c r="S5" s="239">
        <f t="shared" si="0"/>
        <v>7.8862624186365249E-2</v>
      </c>
      <c r="T5" s="239">
        <f t="shared" si="0"/>
        <v>-2.9716378620407546E-2</v>
      </c>
      <c r="U5" s="239">
        <f t="shared" si="0"/>
        <v>-6.1858348022950982E-2</v>
      </c>
      <c r="V5" s="239">
        <f t="shared" si="0"/>
        <v>-0.13150093269387197</v>
      </c>
      <c r="W5" s="239">
        <f t="shared" si="0"/>
        <v>0.20362010376292949</v>
      </c>
      <c r="X5" s="239">
        <f t="shared" si="0"/>
        <v>0.37828800417834896</v>
      </c>
      <c r="Y5" s="239">
        <f>IFERROR(Y4/X4-1,"-")</f>
        <v>-0.21541364670524643</v>
      </c>
      <c r="Z5" s="239"/>
      <c r="AA5" s="237"/>
      <c r="AB5" s="245" t="str">
        <f>IFERROR(AB4/#REF!-1,"-")</f>
        <v>-</v>
      </c>
      <c r="AC5" s="245" t="str">
        <f>IFERROR(AC4/#REF!-1,"-")</f>
        <v>-</v>
      </c>
      <c r="AD5" s="245" t="str">
        <f>IFERROR(AD4/#REF!-1,"-")</f>
        <v>-</v>
      </c>
      <c r="AE5" s="245" t="str">
        <f>IFERROR(AE4/#REF!-1,"-")</f>
        <v>-</v>
      </c>
      <c r="AF5" s="245" t="str">
        <f>IFERROR(AF4/#REF!-1,"-")</f>
        <v>-</v>
      </c>
      <c r="AG5" s="245"/>
      <c r="AH5" s="245"/>
      <c r="AI5" s="245"/>
      <c r="AJ5" s="241"/>
      <c r="AK5" s="239" t="str">
        <f>IFERROR(AK4/#REF!-1,"-")</f>
        <v>-</v>
      </c>
      <c r="AL5" s="240">
        <f t="shared" ref="AL5:AN5" si="1">IFERROR(AL4/AK4-1,"-")</f>
        <v>-0.16095669530261203</v>
      </c>
      <c r="AM5" s="240">
        <f t="shared" si="1"/>
        <v>6.6735618280910014E-2</v>
      </c>
      <c r="AN5" s="240">
        <f t="shared" si="1"/>
        <v>-1.7160211581410678E-2</v>
      </c>
      <c r="AO5" s="239" t="str">
        <f>IFERROR(AO4/#REF!-1,"-")</f>
        <v>-</v>
      </c>
      <c r="AP5" s="240"/>
      <c r="AQ5" s="240"/>
      <c r="AR5" s="240"/>
      <c r="AS5" s="241"/>
    </row>
    <row r="6" spans="2:46" s="58" customFormat="1" ht="15" customHeight="1" outlineLevel="1" x14ac:dyDescent="0.25">
      <c r="B6" s="192" t="s">
        <v>306</v>
      </c>
      <c r="C6" s="97" t="s">
        <v>17</v>
      </c>
      <c r="D6" s="97" t="s">
        <v>17</v>
      </c>
      <c r="E6" s="97" t="s">
        <v>17</v>
      </c>
      <c r="F6" s="97" t="s">
        <v>17</v>
      </c>
      <c r="G6" s="97" t="s">
        <v>17</v>
      </c>
      <c r="H6" s="97" t="s">
        <v>17</v>
      </c>
      <c r="I6" s="97" t="s">
        <v>17</v>
      </c>
      <c r="J6" s="97" t="s">
        <v>17</v>
      </c>
      <c r="K6" s="97" t="s">
        <v>17</v>
      </c>
      <c r="L6" s="97" t="s">
        <v>17</v>
      </c>
      <c r="M6" s="97" t="s">
        <v>17</v>
      </c>
      <c r="N6" s="97" t="s">
        <v>17</v>
      </c>
      <c r="O6" s="97" t="s">
        <v>17</v>
      </c>
      <c r="P6" s="97" t="s">
        <v>17</v>
      </c>
      <c r="Q6" s="97" t="s">
        <v>17</v>
      </c>
      <c r="R6" s="97" t="s">
        <v>17</v>
      </c>
      <c r="S6" s="97" t="s">
        <v>17</v>
      </c>
      <c r="T6" s="97">
        <v>12648.820726901402</v>
      </c>
      <c r="U6" s="97">
        <v>11422.016027499525</v>
      </c>
      <c r="V6" s="97">
        <v>12555.498923360756</v>
      </c>
      <c r="W6" s="97">
        <v>14139.980513078937</v>
      </c>
      <c r="X6" s="97">
        <v>20726.764710666364</v>
      </c>
      <c r="Y6" s="97">
        <f>AE6</f>
        <v>14302.715248994726</v>
      </c>
      <c r="Z6" s="97"/>
      <c r="AA6" s="237"/>
      <c r="AB6" s="97">
        <v>4135.5559603102756</v>
      </c>
      <c r="AC6" s="97">
        <v>7348.7462655401123</v>
      </c>
      <c r="AD6" s="97">
        <v>10974.426333635412</v>
      </c>
      <c r="AE6" s="97">
        <v>14302.715248994726</v>
      </c>
      <c r="AF6" s="97">
        <v>2954.1442038395226</v>
      </c>
      <c r="AG6" s="97"/>
      <c r="AH6" s="97"/>
      <c r="AI6" s="97"/>
      <c r="AJ6" s="107"/>
      <c r="AK6" s="97">
        <f t="shared" ref="AK6:AK13" si="2">AB6</f>
        <v>4135.5559603102756</v>
      </c>
      <c r="AL6" s="97">
        <f t="shared" ref="AL6:AN13" si="3">AC6-AB6</f>
        <v>3213.1903052298367</v>
      </c>
      <c r="AM6" s="97">
        <f t="shared" si="3"/>
        <v>3625.6800680953002</v>
      </c>
      <c r="AN6" s="97">
        <f t="shared" si="3"/>
        <v>3328.2889153593133</v>
      </c>
      <c r="AO6" s="97">
        <f t="shared" ref="AO6:AO13" si="4">AF6</f>
        <v>2954.1442038395226</v>
      </c>
      <c r="AP6" s="97"/>
      <c r="AQ6" s="97"/>
      <c r="AR6" s="97"/>
      <c r="AS6" s="107"/>
      <c r="AT6" s="64"/>
    </row>
    <row r="7" spans="2:46" s="58" customFormat="1" ht="15" customHeight="1" outlineLevel="1" x14ac:dyDescent="0.25">
      <c r="B7" s="192" t="s">
        <v>126</v>
      </c>
      <c r="C7" s="97" t="s">
        <v>17</v>
      </c>
      <c r="D7" s="97" t="s">
        <v>17</v>
      </c>
      <c r="E7" s="97" t="s">
        <v>17</v>
      </c>
      <c r="F7" s="97" t="s">
        <v>17</v>
      </c>
      <c r="G7" s="97" t="s">
        <v>17</v>
      </c>
      <c r="H7" s="97" t="s">
        <v>17</v>
      </c>
      <c r="I7" s="97" t="s">
        <v>17</v>
      </c>
      <c r="J7" s="97" t="s">
        <v>17</v>
      </c>
      <c r="K7" s="97" t="s">
        <v>17</v>
      </c>
      <c r="L7" s="97" t="s">
        <v>17</v>
      </c>
      <c r="M7" s="97" t="s">
        <v>17</v>
      </c>
      <c r="N7" s="97" t="s">
        <v>17</v>
      </c>
      <c r="O7" s="97" t="s">
        <v>17</v>
      </c>
      <c r="P7" s="97" t="s">
        <v>17</v>
      </c>
      <c r="Q7" s="97" t="s">
        <v>17</v>
      </c>
      <c r="R7" s="97" t="s">
        <v>17</v>
      </c>
      <c r="S7" s="97" t="s">
        <v>17</v>
      </c>
      <c r="T7" s="97">
        <v>6637.1365185046561</v>
      </c>
      <c r="U7" s="97">
        <v>6195.333174016384</v>
      </c>
      <c r="V7" s="97">
        <v>3313</v>
      </c>
      <c r="W7" s="97">
        <v>3947.1593803751339</v>
      </c>
      <c r="X7" s="97">
        <v>4054.0010166171428</v>
      </c>
      <c r="Y7" s="97">
        <f>AE7</f>
        <v>4315.6394602562495</v>
      </c>
      <c r="Z7" s="97"/>
      <c r="AA7" s="237"/>
      <c r="AB7" s="97">
        <v>1059.7088994847868</v>
      </c>
      <c r="AC7" s="97">
        <v>2085.3890551409627</v>
      </c>
      <c r="AD7" s="97">
        <v>3196.1672841419249</v>
      </c>
      <c r="AE7" s="97">
        <v>4315.6394602562495</v>
      </c>
      <c r="AF7" s="97">
        <v>1077.7286321953882</v>
      </c>
      <c r="AG7" s="97"/>
      <c r="AH7" s="97"/>
      <c r="AI7" s="97"/>
      <c r="AJ7" s="107"/>
      <c r="AK7" s="97">
        <f t="shared" si="2"/>
        <v>1059.7088994847868</v>
      </c>
      <c r="AL7" s="97">
        <f t="shared" si="3"/>
        <v>1025.6801556561759</v>
      </c>
      <c r="AM7" s="97">
        <f t="shared" si="3"/>
        <v>1110.7782290009623</v>
      </c>
      <c r="AN7" s="97">
        <f t="shared" si="3"/>
        <v>1119.4721761143246</v>
      </c>
      <c r="AO7" s="97">
        <f t="shared" si="4"/>
        <v>1077.7286321953882</v>
      </c>
      <c r="AP7" s="97"/>
      <c r="AQ7" s="97"/>
      <c r="AR7" s="97"/>
      <c r="AS7" s="107"/>
      <c r="AT7" s="64"/>
    </row>
    <row r="8" spans="2:46" s="58" customFormat="1" ht="15" customHeight="1" outlineLevel="1" x14ac:dyDescent="0.25">
      <c r="B8" s="192" t="s">
        <v>351</v>
      </c>
      <c r="C8" s="97" t="s">
        <v>17</v>
      </c>
      <c r="D8" s="97" t="s">
        <v>17</v>
      </c>
      <c r="E8" s="97" t="s">
        <v>17</v>
      </c>
      <c r="F8" s="97" t="s">
        <v>17</v>
      </c>
      <c r="G8" s="97" t="s">
        <v>17</v>
      </c>
      <c r="H8" s="97" t="s">
        <v>17</v>
      </c>
      <c r="I8" s="97" t="s">
        <v>17</v>
      </c>
      <c r="J8" s="97" t="s">
        <v>17</v>
      </c>
      <c r="K8" s="97" t="s">
        <v>17</v>
      </c>
      <c r="L8" s="97" t="s">
        <v>17</v>
      </c>
      <c r="M8" s="97" t="s">
        <v>17</v>
      </c>
      <c r="N8" s="97" t="s">
        <v>17</v>
      </c>
      <c r="O8" s="97" t="s">
        <v>17</v>
      </c>
      <c r="P8" s="97" t="s">
        <v>17</v>
      </c>
      <c r="Q8" s="97" t="s">
        <v>17</v>
      </c>
      <c r="R8" s="97" t="s">
        <v>17</v>
      </c>
      <c r="S8" s="97" t="s">
        <v>17</v>
      </c>
      <c r="T8" s="97">
        <v>-4007.8713431629949</v>
      </c>
      <c r="U8" s="97">
        <v>-3284.3404541383352</v>
      </c>
      <c r="V8" s="97">
        <v>-3420.2941945727616</v>
      </c>
      <c r="W8" s="97">
        <v>-3104.2304261280751</v>
      </c>
      <c r="X8" s="97">
        <v>-4130.0013407778752</v>
      </c>
      <c r="Y8" s="97">
        <f>AE8</f>
        <v>-2416.0467864933507</v>
      </c>
      <c r="Z8" s="97"/>
      <c r="AA8" s="237"/>
      <c r="AB8" s="97">
        <v>-711.75951672753183</v>
      </c>
      <c r="AC8" s="97">
        <v>-1188.7748379377717</v>
      </c>
      <c r="AD8" s="97">
        <v>-1912.3282667287767</v>
      </c>
      <c r="AE8" s="97">
        <v>-2416.0467864933507</v>
      </c>
      <c r="AF8" s="97">
        <v>-273.03238420845491</v>
      </c>
      <c r="AG8" s="97"/>
      <c r="AH8" s="97"/>
      <c r="AI8" s="97"/>
      <c r="AJ8" s="107"/>
      <c r="AK8" s="97">
        <f t="shared" si="2"/>
        <v>-711.75951672753183</v>
      </c>
      <c r="AL8" s="97">
        <f t="shared" si="3"/>
        <v>-477.0153212102399</v>
      </c>
      <c r="AM8" s="97">
        <f t="shared" si="3"/>
        <v>-723.55342879100499</v>
      </c>
      <c r="AN8" s="97">
        <f t="shared" si="3"/>
        <v>-503.71851976457401</v>
      </c>
      <c r="AO8" s="97">
        <f t="shared" si="4"/>
        <v>-273.03238420845491</v>
      </c>
      <c r="AP8" s="97"/>
      <c r="AQ8" s="97"/>
      <c r="AR8" s="97"/>
      <c r="AS8" s="107"/>
      <c r="AT8" s="64"/>
    </row>
    <row r="9" spans="2:46" ht="15" customHeight="1" x14ac:dyDescent="0.25">
      <c r="B9" s="57" t="s">
        <v>19</v>
      </c>
      <c r="C9" s="242" t="s">
        <v>17</v>
      </c>
      <c r="D9" s="242" t="s">
        <v>17</v>
      </c>
      <c r="E9" s="242" t="s">
        <v>17</v>
      </c>
      <c r="F9" s="242" t="s">
        <v>17</v>
      </c>
      <c r="G9" s="242" t="s">
        <v>17</v>
      </c>
      <c r="H9" s="242" t="s">
        <v>17</v>
      </c>
      <c r="I9" s="242" t="s">
        <v>17</v>
      </c>
      <c r="J9" s="242" t="s">
        <v>17</v>
      </c>
      <c r="K9" s="242" t="s">
        <v>17</v>
      </c>
      <c r="L9" s="242" t="s">
        <v>17</v>
      </c>
      <c r="M9" s="242" t="s">
        <v>17</v>
      </c>
      <c r="N9" s="242" t="s">
        <v>17</v>
      </c>
      <c r="O9" s="242" t="s">
        <v>17</v>
      </c>
      <c r="P9" s="242" t="s">
        <v>17</v>
      </c>
      <c r="Q9" s="237">
        <v>10062.293811547117</v>
      </c>
      <c r="R9" s="237">
        <v>8856.9682417859367</v>
      </c>
      <c r="S9" s="237">
        <v>10354.922798192285</v>
      </c>
      <c r="T9" s="237">
        <f t="shared" ref="T9:Y9" si="5">T4-T13</f>
        <v>10178.903246388894</v>
      </c>
      <c r="U9" s="237">
        <f t="shared" si="5"/>
        <v>9115.8589065144843</v>
      </c>
      <c r="V9" s="237">
        <f t="shared" si="5"/>
        <v>7356.4867873569929</v>
      </c>
      <c r="W9" s="237">
        <f t="shared" si="5"/>
        <v>10148.018698363005</v>
      </c>
      <c r="X9" s="237">
        <f t="shared" ref="X9" si="6">X4-X13</f>
        <v>14529.713836391627</v>
      </c>
      <c r="Y9" s="237">
        <f t="shared" si="5"/>
        <v>9205.3480696248625</v>
      </c>
      <c r="Z9" s="237"/>
      <c r="AA9" s="237"/>
      <c r="AB9" s="237">
        <f t="shared" ref="AB9" si="7">AB4-AB13</f>
        <v>2364.4586792105929</v>
      </c>
      <c r="AC9" s="237">
        <f>AC4-AC13</f>
        <v>4581.2068921505779</v>
      </c>
      <c r="AD9" s="237">
        <f>AD4-AD13</f>
        <v>7099.1612476609025</v>
      </c>
      <c r="AE9" s="237">
        <f>AE4-AE13</f>
        <v>9205.3480696248625</v>
      </c>
      <c r="AF9" s="237">
        <f>AF4-AF13</f>
        <v>1974.9719646086426</v>
      </c>
      <c r="AG9" s="237"/>
      <c r="AH9" s="237"/>
      <c r="AI9" s="237"/>
      <c r="AK9" s="237">
        <f t="shared" si="2"/>
        <v>2364.4586792105929</v>
      </c>
      <c r="AL9" s="237">
        <f t="shared" si="3"/>
        <v>2216.748212939985</v>
      </c>
      <c r="AM9" s="237">
        <f t="shared" si="3"/>
        <v>2517.9543555103246</v>
      </c>
      <c r="AN9" s="237">
        <f t="shared" si="3"/>
        <v>2106.18682196396</v>
      </c>
      <c r="AO9" s="237">
        <f t="shared" si="4"/>
        <v>1974.9719646086426</v>
      </c>
      <c r="AP9" s="237"/>
      <c r="AQ9" s="237"/>
      <c r="AR9" s="237"/>
      <c r="AT9" s="64"/>
    </row>
    <row r="10" spans="2:46" s="58" customFormat="1" ht="15" customHeight="1" outlineLevel="1" x14ac:dyDescent="0.25">
      <c r="B10" s="192" t="s">
        <v>306</v>
      </c>
      <c r="C10" s="243" t="s">
        <v>17</v>
      </c>
      <c r="D10" s="243" t="s">
        <v>17</v>
      </c>
      <c r="E10" s="243" t="s">
        <v>17</v>
      </c>
      <c r="F10" s="243" t="s">
        <v>17</v>
      </c>
      <c r="G10" s="243" t="s">
        <v>17</v>
      </c>
      <c r="H10" s="243" t="s">
        <v>17</v>
      </c>
      <c r="I10" s="243" t="s">
        <v>17</v>
      </c>
      <c r="J10" s="243" t="s">
        <v>17</v>
      </c>
      <c r="K10" s="243" t="s">
        <v>17</v>
      </c>
      <c r="L10" s="243" t="s">
        <v>17</v>
      </c>
      <c r="M10" s="243" t="s">
        <v>17</v>
      </c>
      <c r="N10" s="243" t="s">
        <v>17</v>
      </c>
      <c r="O10" s="243" t="s">
        <v>17</v>
      </c>
      <c r="P10" s="243" t="s">
        <v>17</v>
      </c>
      <c r="Q10" s="97" t="s">
        <v>17</v>
      </c>
      <c r="R10" s="97" t="s">
        <v>17</v>
      </c>
      <c r="S10" s="97" t="s">
        <v>17</v>
      </c>
      <c r="T10" s="97">
        <f t="shared" ref="T10:W12" si="8">T6-T15</f>
        <v>9257.0624288158178</v>
      </c>
      <c r="U10" s="97">
        <f t="shared" si="8"/>
        <v>8011.9216723956497</v>
      </c>
      <c r="V10" s="97">
        <f t="shared" si="8"/>
        <v>9112.9932594796937</v>
      </c>
      <c r="W10" s="97">
        <f t="shared" si="8"/>
        <v>11372.026661574611</v>
      </c>
      <c r="X10" s="97">
        <f t="shared" ref="X10" si="9">X6-X15</f>
        <v>16950.176442943841</v>
      </c>
      <c r="Y10" s="97">
        <f t="shared" ref="Y10:Y12" si="10">Y6-Y15</f>
        <v>9758.6140763228123</v>
      </c>
      <c r="Z10" s="97"/>
      <c r="AA10" s="237"/>
      <c r="AB10" s="97">
        <f t="shared" ref="AB10:AB12" si="11">AB6-AB15</f>
        <v>2639.8451524433199</v>
      </c>
      <c r="AC10" s="97">
        <f t="shared" ref="AC10:AF12" si="12">AC6-AC15</f>
        <v>4868.0730056584598</v>
      </c>
      <c r="AD10" s="97">
        <f t="shared" si="12"/>
        <v>7646.063546125617</v>
      </c>
      <c r="AE10" s="97">
        <f t="shared" si="12"/>
        <v>9758.6140763228123</v>
      </c>
      <c r="AF10" s="97">
        <f>AF6-AF15</f>
        <v>1805.3543228304329</v>
      </c>
      <c r="AG10" s="97"/>
      <c r="AH10" s="97"/>
      <c r="AI10" s="97"/>
      <c r="AJ10" s="107"/>
      <c r="AK10" s="97">
        <f t="shared" si="2"/>
        <v>2639.8451524433199</v>
      </c>
      <c r="AL10" s="97">
        <f t="shared" si="3"/>
        <v>2228.2278532151399</v>
      </c>
      <c r="AM10" s="97">
        <f t="shared" si="3"/>
        <v>2777.9905404671572</v>
      </c>
      <c r="AN10" s="97">
        <f t="shared" si="3"/>
        <v>2112.5505301971953</v>
      </c>
      <c r="AO10" s="97">
        <f t="shared" si="4"/>
        <v>1805.3543228304329</v>
      </c>
      <c r="AP10" s="97"/>
      <c r="AQ10" s="97"/>
      <c r="AR10" s="97"/>
      <c r="AS10" s="107"/>
      <c r="AT10" s="64"/>
    </row>
    <row r="11" spans="2:46" s="58" customFormat="1" ht="15" customHeight="1" outlineLevel="1" x14ac:dyDescent="0.25">
      <c r="B11" s="192" t="s">
        <v>126</v>
      </c>
      <c r="C11" s="243" t="s">
        <v>17</v>
      </c>
      <c r="D11" s="243" t="s">
        <v>17</v>
      </c>
      <c r="E11" s="243" t="s">
        <v>17</v>
      </c>
      <c r="F11" s="243" t="s">
        <v>17</v>
      </c>
      <c r="G11" s="243" t="s">
        <v>17</v>
      </c>
      <c r="H11" s="243" t="s">
        <v>17</v>
      </c>
      <c r="I11" s="243" t="s">
        <v>17</v>
      </c>
      <c r="J11" s="243" t="s">
        <v>17</v>
      </c>
      <c r="K11" s="243" t="s">
        <v>17</v>
      </c>
      <c r="L11" s="243" t="s">
        <v>17</v>
      </c>
      <c r="M11" s="243" t="s">
        <v>17</v>
      </c>
      <c r="N11" s="243" t="s">
        <v>17</v>
      </c>
      <c r="O11" s="243" t="s">
        <v>17</v>
      </c>
      <c r="P11" s="243" t="s">
        <v>17</v>
      </c>
      <c r="Q11" s="97" t="s">
        <v>17</v>
      </c>
      <c r="R11" s="97" t="s">
        <v>17</v>
      </c>
      <c r="S11" s="97" t="s">
        <v>17</v>
      </c>
      <c r="T11" s="97">
        <f t="shared" si="8"/>
        <v>4922.3948980910955</v>
      </c>
      <c r="U11" s="97">
        <f t="shared" si="8"/>
        <v>4378.98232074728</v>
      </c>
      <c r="V11" s="97">
        <f t="shared" si="8"/>
        <v>1644.4428669767185</v>
      </c>
      <c r="W11" s="97">
        <f t="shared" si="8"/>
        <v>1876.2720844534338</v>
      </c>
      <c r="X11" s="97">
        <f t="shared" ref="X11" si="13">X7-X16</f>
        <v>1705.223898594023</v>
      </c>
      <c r="Y11" s="97">
        <f t="shared" si="10"/>
        <v>1861.233226621669</v>
      </c>
      <c r="Z11" s="97"/>
      <c r="AA11" s="237"/>
      <c r="AB11" s="97">
        <f t="shared" si="11"/>
        <v>452.9770982531827</v>
      </c>
      <c r="AC11" s="97">
        <f t="shared" si="12"/>
        <v>907.9636998492881</v>
      </c>
      <c r="AD11" s="97">
        <f t="shared" si="12"/>
        <v>1376.0518274931169</v>
      </c>
      <c r="AE11" s="97">
        <f t="shared" si="12"/>
        <v>1861.233226621669</v>
      </c>
      <c r="AF11" s="97">
        <f t="shared" si="12"/>
        <v>449.15869206878938</v>
      </c>
      <c r="AG11" s="97"/>
      <c r="AH11" s="97"/>
      <c r="AI11" s="97"/>
      <c r="AJ11" s="107"/>
      <c r="AK11" s="97">
        <f t="shared" si="2"/>
        <v>452.9770982531827</v>
      </c>
      <c r="AL11" s="97">
        <f t="shared" si="3"/>
        <v>454.9866015961054</v>
      </c>
      <c r="AM11" s="97">
        <f t="shared" si="3"/>
        <v>468.08812764382878</v>
      </c>
      <c r="AN11" s="97">
        <f t="shared" si="3"/>
        <v>485.18139912855213</v>
      </c>
      <c r="AO11" s="97">
        <f t="shared" si="4"/>
        <v>449.15869206878938</v>
      </c>
      <c r="AP11" s="97"/>
      <c r="AQ11" s="97"/>
      <c r="AR11" s="97"/>
      <c r="AS11" s="107"/>
      <c r="AT11" s="64"/>
    </row>
    <row r="12" spans="2:46" s="58" customFormat="1" ht="15" customHeight="1" outlineLevel="1" x14ac:dyDescent="0.25">
      <c r="B12" s="192" t="s">
        <v>351</v>
      </c>
      <c r="C12" s="243" t="s">
        <v>17</v>
      </c>
      <c r="D12" s="243" t="s">
        <v>17</v>
      </c>
      <c r="E12" s="243" t="s">
        <v>17</v>
      </c>
      <c r="F12" s="243" t="s">
        <v>17</v>
      </c>
      <c r="G12" s="243" t="s">
        <v>17</v>
      </c>
      <c r="H12" s="243" t="s">
        <v>17</v>
      </c>
      <c r="I12" s="243" t="s">
        <v>17</v>
      </c>
      <c r="J12" s="243" t="s">
        <v>17</v>
      </c>
      <c r="K12" s="243" t="s">
        <v>17</v>
      </c>
      <c r="L12" s="243" t="s">
        <v>17</v>
      </c>
      <c r="M12" s="243" t="s">
        <v>17</v>
      </c>
      <c r="N12" s="243" t="s">
        <v>17</v>
      </c>
      <c r="O12" s="243" t="s">
        <v>17</v>
      </c>
      <c r="P12" s="243" t="s">
        <v>17</v>
      </c>
      <c r="Q12" s="97" t="s">
        <v>17</v>
      </c>
      <c r="R12" s="97" t="s">
        <v>17</v>
      </c>
      <c r="S12" s="97" t="s">
        <v>17</v>
      </c>
      <c r="T12" s="97">
        <f t="shared" si="8"/>
        <v>-4000.5540805180171</v>
      </c>
      <c r="U12" s="97">
        <f t="shared" si="8"/>
        <v>-3275.0450866284418</v>
      </c>
      <c r="V12" s="97">
        <f t="shared" si="8"/>
        <v>-3400.9493390994194</v>
      </c>
      <c r="W12" s="97">
        <f t="shared" si="8"/>
        <v>-3100.2800476650391</v>
      </c>
      <c r="X12" s="97">
        <f t="shared" ref="X12" si="14">X8-X17</f>
        <v>-4125.6865051462401</v>
      </c>
      <c r="Y12" s="97">
        <f t="shared" si="10"/>
        <v>-2414.4992333196196</v>
      </c>
      <c r="Z12" s="97"/>
      <c r="AA12" s="237"/>
      <c r="AB12" s="97">
        <f t="shared" si="11"/>
        <v>-728.36357148590776</v>
      </c>
      <c r="AC12" s="97">
        <f t="shared" ref="AC12" si="15">AC8-AC17</f>
        <v>-1194.8298133571702</v>
      </c>
      <c r="AD12" s="97">
        <f t="shared" ref="AD12:AE12" si="16">AD8-AD17</f>
        <v>-1922.9541259578309</v>
      </c>
      <c r="AE12" s="97">
        <f t="shared" si="16"/>
        <v>-2414.4992333196196</v>
      </c>
      <c r="AF12" s="97">
        <f t="shared" si="12"/>
        <v>-279.54105029058269</v>
      </c>
      <c r="AG12" s="97"/>
      <c r="AH12" s="97"/>
      <c r="AI12" s="97"/>
      <c r="AJ12" s="107"/>
      <c r="AK12" s="97">
        <f t="shared" si="2"/>
        <v>-728.36357148590776</v>
      </c>
      <c r="AL12" s="97">
        <f t="shared" si="3"/>
        <v>-466.46624187126247</v>
      </c>
      <c r="AM12" s="97">
        <f t="shared" si="3"/>
        <v>-728.12431260066069</v>
      </c>
      <c r="AN12" s="97">
        <f t="shared" si="3"/>
        <v>-491.54510736178872</v>
      </c>
      <c r="AO12" s="97">
        <f t="shared" si="4"/>
        <v>-279.54105029058269</v>
      </c>
      <c r="AP12" s="97"/>
      <c r="AQ12" s="97"/>
      <c r="AR12" s="97"/>
      <c r="AS12" s="107"/>
      <c r="AT12" s="64"/>
    </row>
    <row r="13" spans="2:46" ht="15" customHeight="1" x14ac:dyDescent="0.25">
      <c r="B13" s="6" t="s">
        <v>102</v>
      </c>
      <c r="C13" s="244" t="s">
        <v>17</v>
      </c>
      <c r="D13" s="244" t="s">
        <v>17</v>
      </c>
      <c r="E13" s="244" t="s">
        <v>17</v>
      </c>
      <c r="F13" s="244" t="s">
        <v>17</v>
      </c>
      <c r="G13" s="244">
        <v>3863.8329042601945</v>
      </c>
      <c r="H13" s="244">
        <v>4158.4543568620738</v>
      </c>
      <c r="I13" s="244">
        <v>4553.4677730000003</v>
      </c>
      <c r="J13" s="244">
        <v>4897.1849339999999</v>
      </c>
      <c r="K13" s="244">
        <v>5105.3135599999996</v>
      </c>
      <c r="L13" s="244">
        <v>5404.3312660000001</v>
      </c>
      <c r="M13" s="244">
        <v>5436.4747319999997</v>
      </c>
      <c r="N13" s="244">
        <v>5428.1669899999997</v>
      </c>
      <c r="O13" s="244">
        <v>5450.7966820000001</v>
      </c>
      <c r="P13" s="244">
        <v>5367.1290545283146</v>
      </c>
      <c r="Q13" s="244">
        <v>5454.706188452883</v>
      </c>
      <c r="R13" s="244">
        <v>5738.0317582140642</v>
      </c>
      <c r="S13" s="244">
        <v>5391.0772018077159</v>
      </c>
      <c r="T13" s="244">
        <v>5099.1826558541679</v>
      </c>
      <c r="U13" s="244">
        <v>5217.149840863086</v>
      </c>
      <c r="V13" s="244">
        <v>5091.7179414310012</v>
      </c>
      <c r="W13" s="244">
        <v>4834.8907689629905</v>
      </c>
      <c r="X13" s="244">
        <v>6121.0505501140078</v>
      </c>
      <c r="Y13" s="244">
        <f>AE13</f>
        <v>6996.9598531327629</v>
      </c>
      <c r="Z13" s="244"/>
      <c r="AA13" s="237"/>
      <c r="AB13" s="244">
        <v>2119.0466638569351</v>
      </c>
      <c r="AC13" s="244">
        <v>3664.1535905927253</v>
      </c>
      <c r="AD13" s="244">
        <v>5159.1041033876572</v>
      </c>
      <c r="AE13" s="244">
        <v>6996.9598531327629</v>
      </c>
      <c r="AF13" s="244">
        <v>1783.8684872178139</v>
      </c>
      <c r="AG13" s="244"/>
      <c r="AH13" s="244"/>
      <c r="AI13" s="244"/>
      <c r="AK13" s="244">
        <f t="shared" si="2"/>
        <v>2119.0466638569351</v>
      </c>
      <c r="AL13" s="244">
        <f t="shared" si="3"/>
        <v>1545.1069267357902</v>
      </c>
      <c r="AM13" s="244">
        <f t="shared" si="3"/>
        <v>1494.9505127949319</v>
      </c>
      <c r="AN13" s="244">
        <f t="shared" si="3"/>
        <v>1837.8557497451056</v>
      </c>
      <c r="AO13" s="244">
        <f t="shared" si="4"/>
        <v>1783.8684872178139</v>
      </c>
      <c r="AP13" s="244"/>
      <c r="AQ13" s="244"/>
      <c r="AR13" s="244"/>
      <c r="AT13" s="64"/>
    </row>
    <row r="14" spans="2:46" s="203" customFormat="1" x14ac:dyDescent="0.25">
      <c r="B14" s="510" t="s">
        <v>18</v>
      </c>
      <c r="C14" s="511" t="str">
        <f t="shared" ref="C14:Q14" si="17">IFERROR(C13/B13-1,"-")</f>
        <v>-</v>
      </c>
      <c r="D14" s="511" t="str">
        <f t="shared" si="17"/>
        <v>-</v>
      </c>
      <c r="E14" s="511" t="str">
        <f t="shared" si="17"/>
        <v>-</v>
      </c>
      <c r="F14" s="511" t="str">
        <f t="shared" si="17"/>
        <v>-</v>
      </c>
      <c r="G14" s="511" t="str">
        <f t="shared" si="17"/>
        <v>-</v>
      </c>
      <c r="H14" s="511">
        <f t="shared" si="17"/>
        <v>7.6251085360610427E-2</v>
      </c>
      <c r="I14" s="511">
        <f t="shared" si="17"/>
        <v>9.4990441697669459E-2</v>
      </c>
      <c r="J14" s="511">
        <f t="shared" si="17"/>
        <v>7.5484702678272342E-2</v>
      </c>
      <c r="K14" s="511">
        <f t="shared" si="17"/>
        <v>4.2499645981308953E-2</v>
      </c>
      <c r="L14" s="511">
        <f t="shared" si="17"/>
        <v>5.856990025897657E-2</v>
      </c>
      <c r="M14" s="511">
        <f t="shared" si="17"/>
        <v>5.9477231164977162E-3</v>
      </c>
      <c r="N14" s="511">
        <f t="shared" si="17"/>
        <v>-1.5281487378391301E-3</v>
      </c>
      <c r="O14" s="511">
        <f t="shared" si="17"/>
        <v>4.1689380672498277E-3</v>
      </c>
      <c r="P14" s="511">
        <f t="shared" si="17"/>
        <v>-1.534961444222982E-2</v>
      </c>
      <c r="Q14" s="511">
        <f t="shared" si="17"/>
        <v>1.6317314719808795E-2</v>
      </c>
      <c r="R14" s="511">
        <f t="shared" ref="R14" si="18">IFERROR(R13/Q13-1,"-")</f>
        <v>5.1941490517116273E-2</v>
      </c>
      <c r="S14" s="511">
        <f t="shared" ref="S14" si="19">IFERROR(S13/R13-1,"-")</f>
        <v>-6.0465778341097232E-2</v>
      </c>
      <c r="T14" s="511">
        <f t="shared" ref="T14" si="20">IFERROR(T13/S13-1,"-")</f>
        <v>-5.4144011489145605E-2</v>
      </c>
      <c r="U14" s="511">
        <f t="shared" ref="U14" si="21">IFERROR(U13/T13-1,"-")</f>
        <v>2.3134528211787853E-2</v>
      </c>
      <c r="V14" s="511">
        <f t="shared" ref="V14" si="22">IFERROR(V13/U13-1,"-")</f>
        <v>-2.4042226744120931E-2</v>
      </c>
      <c r="W14" s="511">
        <f t="shared" ref="W14:X14" si="23">IFERROR(W13/V13-1,"-")</f>
        <v>-5.0440180587817629E-2</v>
      </c>
      <c r="X14" s="511">
        <f t="shared" si="23"/>
        <v>0.26601630576793345</v>
      </c>
      <c r="Y14" s="511">
        <f>IFERROR(Y13/X13-1,"-")</f>
        <v>0.14309787116566786</v>
      </c>
      <c r="Z14" s="511"/>
      <c r="AA14" s="404"/>
      <c r="AB14" s="245" t="str">
        <f>IFERROR(AB13/#REF!-1,"-")</f>
        <v>-</v>
      </c>
      <c r="AC14" s="245" t="str">
        <f>IFERROR(AC13/#REF!-1,"-")</f>
        <v>-</v>
      </c>
      <c r="AD14" s="245" t="str">
        <f>IFERROR(AD13/#REF!-1,"-")</f>
        <v>-</v>
      </c>
      <c r="AE14" s="511" t="str">
        <f>IFERROR(AE13/#REF!-1,"-")</f>
        <v>-</v>
      </c>
      <c r="AF14" s="245">
        <f>IFERROR(AF13/AB13-1,"-")</f>
        <v>-0.1581740422974236</v>
      </c>
      <c r="AG14" s="245"/>
      <c r="AH14" s="245"/>
      <c r="AI14" s="511"/>
      <c r="AJ14" s="513"/>
      <c r="AK14" s="245" t="str">
        <f>IFERROR(AK13/#REF!-1,"-")</f>
        <v>-</v>
      </c>
      <c r="AL14" s="245" t="str">
        <f>IFERROR(AL13/#REF!-1,"-")</f>
        <v>-</v>
      </c>
      <c r="AM14" s="245" t="str">
        <f>IFERROR(AM13/#REF!-1,"-")</f>
        <v>-</v>
      </c>
      <c r="AN14" s="245" t="str">
        <f>IFERROR(AN13/#REF!-1,"-")</f>
        <v>-</v>
      </c>
      <c r="AO14" s="245">
        <f>IFERROR(AO13/AN13-1,"-")</f>
        <v>-2.937513596199226E-2</v>
      </c>
      <c r="AP14" s="245"/>
      <c r="AQ14" s="245"/>
      <c r="AR14" s="245"/>
      <c r="AS14" s="513"/>
    </row>
    <row r="15" spans="2:46" s="58" customFormat="1" ht="15" customHeight="1" outlineLevel="1" x14ac:dyDescent="0.25">
      <c r="B15" s="192" t="s">
        <v>306</v>
      </c>
      <c r="C15" s="97" t="s">
        <v>17</v>
      </c>
      <c r="D15" s="97" t="s">
        <v>17</v>
      </c>
      <c r="E15" s="97" t="s">
        <v>17</v>
      </c>
      <c r="F15" s="97" t="s">
        <v>17</v>
      </c>
      <c r="G15" s="97" t="s">
        <v>17</v>
      </c>
      <c r="H15" s="97" t="s">
        <v>17</v>
      </c>
      <c r="I15" s="97" t="s">
        <v>17</v>
      </c>
      <c r="J15" s="97" t="s">
        <v>17</v>
      </c>
      <c r="K15" s="97" t="s">
        <v>17</v>
      </c>
      <c r="L15" s="97" t="s">
        <v>17</v>
      </c>
      <c r="M15" s="97" t="s">
        <v>17</v>
      </c>
      <c r="N15" s="97" t="s">
        <v>17</v>
      </c>
      <c r="O15" s="97" t="s">
        <v>17</v>
      </c>
      <c r="P15" s="97" t="s">
        <v>17</v>
      </c>
      <c r="Q15" s="97" t="s">
        <v>17</v>
      </c>
      <c r="R15" s="97" t="s">
        <v>17</v>
      </c>
      <c r="S15" s="97" t="s">
        <v>17</v>
      </c>
      <c r="T15" s="97">
        <v>3391.758298085585</v>
      </c>
      <c r="U15" s="97">
        <v>3410.0943551038754</v>
      </c>
      <c r="V15" s="97">
        <v>3442.5056638810624</v>
      </c>
      <c r="W15" s="97">
        <v>2767.9538515043259</v>
      </c>
      <c r="X15" s="97">
        <v>3776.5882677225227</v>
      </c>
      <c r="Y15" s="97">
        <f t="shared" ref="Y15:Y34" si="24">AE15</f>
        <v>4544.1011726719134</v>
      </c>
      <c r="Z15" s="97"/>
      <c r="AA15" s="237"/>
      <c r="AB15" s="97">
        <v>1495.7108078669557</v>
      </c>
      <c r="AC15" s="97">
        <v>2480.673259881652</v>
      </c>
      <c r="AD15" s="97">
        <v>3328.362787509795</v>
      </c>
      <c r="AE15" s="97">
        <v>4544.1011726719134</v>
      </c>
      <c r="AF15" s="97">
        <v>1148.7898810090896</v>
      </c>
      <c r="AG15" s="97"/>
      <c r="AH15" s="97"/>
      <c r="AI15" s="97"/>
      <c r="AJ15" s="107"/>
      <c r="AK15" s="97">
        <f t="shared" ref="AK15:AK34" si="25">AB15</f>
        <v>1495.7108078669557</v>
      </c>
      <c r="AL15" s="97">
        <f t="shared" ref="AL15:AN21" si="26">AC15-AB15</f>
        <v>984.96245201469628</v>
      </c>
      <c r="AM15" s="97">
        <f t="shared" si="26"/>
        <v>847.68952762814297</v>
      </c>
      <c r="AN15" s="97">
        <f t="shared" si="26"/>
        <v>1215.7383851621184</v>
      </c>
      <c r="AO15" s="97">
        <f t="shared" ref="AO15:AO34" si="27">AF15</f>
        <v>1148.7898810090896</v>
      </c>
      <c r="AP15" s="97"/>
      <c r="AQ15" s="97"/>
      <c r="AR15" s="97"/>
      <c r="AS15" s="107"/>
      <c r="AT15" s="64"/>
    </row>
    <row r="16" spans="2:46" s="58" customFormat="1" ht="15" customHeight="1" outlineLevel="1" x14ac:dyDescent="0.25">
      <c r="B16" s="192" t="s">
        <v>126</v>
      </c>
      <c r="C16" s="97" t="s">
        <v>17</v>
      </c>
      <c r="D16" s="97" t="s">
        <v>17</v>
      </c>
      <c r="E16" s="97" t="s">
        <v>17</v>
      </c>
      <c r="F16" s="97" t="s">
        <v>17</v>
      </c>
      <c r="G16" s="97" t="s">
        <v>17</v>
      </c>
      <c r="H16" s="97" t="s">
        <v>17</v>
      </c>
      <c r="I16" s="97" t="s">
        <v>17</v>
      </c>
      <c r="J16" s="97" t="s">
        <v>17</v>
      </c>
      <c r="K16" s="97" t="s">
        <v>17</v>
      </c>
      <c r="L16" s="97" t="s">
        <v>17</v>
      </c>
      <c r="M16" s="97" t="s">
        <v>17</v>
      </c>
      <c r="N16" s="97" t="s">
        <v>17</v>
      </c>
      <c r="O16" s="97" t="s">
        <v>17</v>
      </c>
      <c r="P16" s="97" t="s">
        <v>17</v>
      </c>
      <c r="Q16" s="97" t="s">
        <v>17</v>
      </c>
      <c r="R16" s="97" t="s">
        <v>17</v>
      </c>
      <c r="S16" s="97" t="s">
        <v>17</v>
      </c>
      <c r="T16" s="97">
        <v>1714.7416204135604</v>
      </c>
      <c r="U16" s="97">
        <v>1816.3508532691039</v>
      </c>
      <c r="V16" s="97">
        <v>1668.5571330232815</v>
      </c>
      <c r="W16" s="97">
        <v>2070.8872959217001</v>
      </c>
      <c r="X16" s="97">
        <v>2348.7771180231198</v>
      </c>
      <c r="Y16" s="97">
        <f t="shared" si="24"/>
        <v>2454.4062336345805</v>
      </c>
      <c r="Z16" s="97"/>
      <c r="AA16" s="237"/>
      <c r="AB16" s="97">
        <v>606.73180123160409</v>
      </c>
      <c r="AC16" s="97">
        <v>1177.4253552916746</v>
      </c>
      <c r="AD16" s="97">
        <v>1820.115456648808</v>
      </c>
      <c r="AE16" s="97">
        <v>2454.4062336345805</v>
      </c>
      <c r="AF16" s="97">
        <v>628.56994012659879</v>
      </c>
      <c r="AG16" s="97"/>
      <c r="AH16" s="97"/>
      <c r="AI16" s="97"/>
      <c r="AJ16" s="107"/>
      <c r="AK16" s="97">
        <f t="shared" si="25"/>
        <v>606.73180123160409</v>
      </c>
      <c r="AL16" s="97">
        <f t="shared" si="26"/>
        <v>570.69355406007048</v>
      </c>
      <c r="AM16" s="97">
        <f t="shared" si="26"/>
        <v>642.69010135713347</v>
      </c>
      <c r="AN16" s="97">
        <f t="shared" si="26"/>
        <v>634.29077698577248</v>
      </c>
      <c r="AO16" s="97">
        <f t="shared" si="27"/>
        <v>628.56994012659879</v>
      </c>
      <c r="AP16" s="97"/>
      <c r="AQ16" s="97"/>
      <c r="AR16" s="97"/>
      <c r="AS16" s="107"/>
      <c r="AT16" s="64"/>
    </row>
    <row r="17" spans="2:46" s="58" customFormat="1" ht="15" customHeight="1" outlineLevel="1" x14ac:dyDescent="0.25">
      <c r="B17" s="192" t="s">
        <v>351</v>
      </c>
      <c r="C17" s="97" t="s">
        <v>17</v>
      </c>
      <c r="D17" s="97" t="s">
        <v>17</v>
      </c>
      <c r="E17" s="97" t="s">
        <v>17</v>
      </c>
      <c r="F17" s="97" t="s">
        <v>17</v>
      </c>
      <c r="G17" s="97" t="s">
        <v>17</v>
      </c>
      <c r="H17" s="97" t="s">
        <v>17</v>
      </c>
      <c r="I17" s="97" t="s">
        <v>17</v>
      </c>
      <c r="J17" s="97" t="s">
        <v>17</v>
      </c>
      <c r="K17" s="97" t="s">
        <v>17</v>
      </c>
      <c r="L17" s="97" t="s">
        <v>17</v>
      </c>
      <c r="M17" s="97" t="s">
        <v>17</v>
      </c>
      <c r="N17" s="97" t="s">
        <v>17</v>
      </c>
      <c r="O17" s="97" t="s">
        <v>17</v>
      </c>
      <c r="P17" s="97" t="s">
        <v>17</v>
      </c>
      <c r="Q17" s="97" t="s">
        <v>17</v>
      </c>
      <c r="R17" s="97" t="s">
        <v>17</v>
      </c>
      <c r="S17" s="97" t="s">
        <v>17</v>
      </c>
      <c r="T17" s="97">
        <v>-7.3172626449777454</v>
      </c>
      <c r="U17" s="97">
        <v>-9.2953675098933672</v>
      </c>
      <c r="V17" s="97">
        <v>-19.34485547334225</v>
      </c>
      <c r="W17" s="97">
        <v>-3.9503784630360315</v>
      </c>
      <c r="X17" s="97">
        <v>-4.3148356316351055</v>
      </c>
      <c r="Y17" s="97">
        <f t="shared" si="24"/>
        <v>-1.547553173731103</v>
      </c>
      <c r="Z17" s="97"/>
      <c r="AA17" s="237"/>
      <c r="AB17" s="97">
        <v>16.604054758375931</v>
      </c>
      <c r="AC17" s="97">
        <v>6.0549754193984882</v>
      </c>
      <c r="AD17" s="97">
        <v>10.625859229054186</v>
      </c>
      <c r="AE17" s="97">
        <v>-1.547553173731103</v>
      </c>
      <c r="AF17" s="97">
        <v>6.5086660821277746</v>
      </c>
      <c r="AG17" s="97"/>
      <c r="AH17" s="97"/>
      <c r="AI17" s="97"/>
      <c r="AJ17" s="107"/>
      <c r="AK17" s="97">
        <f t="shared" si="25"/>
        <v>16.604054758375931</v>
      </c>
      <c r="AL17" s="97">
        <f t="shared" si="26"/>
        <v>-10.549079338977442</v>
      </c>
      <c r="AM17" s="97">
        <f t="shared" si="26"/>
        <v>4.5708838096556974</v>
      </c>
      <c r="AN17" s="97">
        <f t="shared" si="26"/>
        <v>-12.173412402785289</v>
      </c>
      <c r="AO17" s="97">
        <f t="shared" si="27"/>
        <v>6.5086660821277746</v>
      </c>
      <c r="AP17" s="97"/>
      <c r="AQ17" s="97"/>
      <c r="AR17" s="97"/>
      <c r="AS17" s="107"/>
      <c r="AT17" s="64"/>
    </row>
    <row r="18" spans="2:46" ht="15" customHeight="1" x14ac:dyDescent="0.25">
      <c r="B18" t="s">
        <v>68</v>
      </c>
      <c r="C18" s="237" t="s">
        <v>17</v>
      </c>
      <c r="D18" s="237" t="s">
        <v>17</v>
      </c>
      <c r="E18" s="237" t="s">
        <v>17</v>
      </c>
      <c r="F18" s="237" t="s">
        <v>17</v>
      </c>
      <c r="G18" s="237">
        <v>816.78139799136602</v>
      </c>
      <c r="H18" s="237">
        <v>741.39797293615197</v>
      </c>
      <c r="I18" s="237">
        <v>684.186914</v>
      </c>
      <c r="J18" s="237">
        <v>735.76831700000002</v>
      </c>
      <c r="K18" s="237">
        <v>768.20248700000002</v>
      </c>
      <c r="L18" s="237">
        <v>862.25646900000004</v>
      </c>
      <c r="M18" s="237">
        <v>901.04796099999999</v>
      </c>
      <c r="N18" s="237">
        <v>928.28656899999999</v>
      </c>
      <c r="O18" s="237">
        <v>909.76874899999996</v>
      </c>
      <c r="P18" s="237">
        <v>896.95892457258503</v>
      </c>
      <c r="Q18" s="237">
        <v>920.60827182087212</v>
      </c>
      <c r="R18" s="237">
        <v>947.87428906323498</v>
      </c>
      <c r="S18" s="237">
        <v>990.53268901175704</v>
      </c>
      <c r="T18" s="237">
        <v>956.96103214975199</v>
      </c>
      <c r="U18" s="237">
        <v>897.54252150197397</v>
      </c>
      <c r="V18" s="237">
        <v>856.51890451900022</v>
      </c>
      <c r="W18" s="237">
        <v>888.95364156399978</v>
      </c>
      <c r="X18" s="237">
        <v>1103.6682077618525</v>
      </c>
      <c r="Y18" s="237">
        <f t="shared" si="24"/>
        <v>-1175.9144149175843</v>
      </c>
      <c r="Z18" s="237"/>
      <c r="AA18" s="237"/>
      <c r="AB18" s="237">
        <v>272.75228184852415</v>
      </c>
      <c r="AC18" s="237">
        <v>549.10642237783122</v>
      </c>
      <c r="AD18" s="237">
        <v>836.88487343630368</v>
      </c>
      <c r="AE18" s="237">
        <v>-1175.9144149175843</v>
      </c>
      <c r="AF18" s="237">
        <v>-260.07780194737234</v>
      </c>
      <c r="AG18" s="237"/>
      <c r="AH18" s="237"/>
      <c r="AI18" s="237"/>
      <c r="AK18" s="237">
        <f t="shared" si="25"/>
        <v>272.75228184852415</v>
      </c>
      <c r="AL18" s="237">
        <f t="shared" si="26"/>
        <v>276.35414052930707</v>
      </c>
      <c r="AM18" s="237">
        <f t="shared" si="26"/>
        <v>287.77845105847246</v>
      </c>
      <c r="AN18" s="237">
        <f t="shared" si="26"/>
        <v>-2012.799288353888</v>
      </c>
      <c r="AO18" s="237">
        <f t="shared" si="27"/>
        <v>-260.07780194737234</v>
      </c>
      <c r="AP18" s="237"/>
      <c r="AQ18" s="237"/>
      <c r="AR18" s="237"/>
      <c r="AT18" s="64"/>
    </row>
    <row r="19" spans="2:46" ht="15" customHeight="1" x14ac:dyDescent="0.25">
      <c r="B19" t="s">
        <v>352</v>
      </c>
      <c r="C19" s="237" t="s">
        <v>17</v>
      </c>
      <c r="D19" s="237" t="s">
        <v>17</v>
      </c>
      <c r="E19" s="237" t="s">
        <v>17</v>
      </c>
      <c r="F19" s="237" t="s">
        <v>17</v>
      </c>
      <c r="G19" s="237">
        <v>545.98707359402226</v>
      </c>
      <c r="H19" s="237">
        <v>585.08635299155173</v>
      </c>
      <c r="I19" s="237">
        <v>866.33280600000001</v>
      </c>
      <c r="J19" s="237">
        <v>734.87388599999997</v>
      </c>
      <c r="K19" s="237">
        <v>698.38876300000004</v>
      </c>
      <c r="L19" s="237">
        <v>728.77000399999997</v>
      </c>
      <c r="M19" s="237">
        <v>634.90044599999999</v>
      </c>
      <c r="N19" s="237">
        <v>671.53645400000005</v>
      </c>
      <c r="O19" s="237">
        <v>631.77537900000004</v>
      </c>
      <c r="P19" s="237">
        <v>555.43813796487302</v>
      </c>
      <c r="Q19" s="237">
        <v>652.97901461670301</v>
      </c>
      <c r="R19" s="237">
        <v>660.61558489428012</v>
      </c>
      <c r="S19" s="237">
        <v>680.83332853921092</v>
      </c>
      <c r="T19" s="237">
        <v>651.54020783716896</v>
      </c>
      <c r="U19" s="237">
        <v>620.19571341636185</v>
      </c>
      <c r="V19" s="237">
        <v>667.31306530300014</v>
      </c>
      <c r="W19" s="237">
        <v>666.45914833399979</v>
      </c>
      <c r="X19" s="237">
        <v>770.7996983279686</v>
      </c>
      <c r="Y19" s="237">
        <f t="shared" si="24"/>
        <v>-819.25885400356105</v>
      </c>
      <c r="Z19" s="237"/>
      <c r="AA19" s="237"/>
      <c r="AB19" s="237">
        <v>207.06031157650324</v>
      </c>
      <c r="AC19" s="237">
        <v>420.40688554445416</v>
      </c>
      <c r="AD19" s="237">
        <v>619.55534163455479</v>
      </c>
      <c r="AE19" s="237">
        <v>-819.25885400356105</v>
      </c>
      <c r="AF19" s="237">
        <v>-212.95853236007301</v>
      </c>
      <c r="AG19" s="237"/>
      <c r="AH19" s="237"/>
      <c r="AI19" s="237"/>
      <c r="AK19" s="237">
        <f t="shared" si="25"/>
        <v>207.06031157650324</v>
      </c>
      <c r="AL19" s="237">
        <f t="shared" si="26"/>
        <v>213.34657396795092</v>
      </c>
      <c r="AM19" s="237">
        <f t="shared" si="26"/>
        <v>199.14845609010064</v>
      </c>
      <c r="AN19" s="237">
        <f t="shared" si="26"/>
        <v>-1438.814195638116</v>
      </c>
      <c r="AO19" s="237">
        <f t="shared" si="27"/>
        <v>-212.95853236007301</v>
      </c>
      <c r="AP19" s="237"/>
      <c r="AQ19" s="237"/>
      <c r="AR19" s="237"/>
      <c r="AT19" s="64"/>
    </row>
    <row r="20" spans="2:46" ht="15" customHeight="1" x14ac:dyDescent="0.25">
      <c r="B20" t="s">
        <v>149</v>
      </c>
      <c r="C20" s="237" t="s">
        <v>17</v>
      </c>
      <c r="D20" s="237" t="s">
        <v>17</v>
      </c>
      <c r="E20" s="237" t="s">
        <v>17</v>
      </c>
      <c r="F20" s="237" t="s">
        <v>17</v>
      </c>
      <c r="G20" s="237">
        <v>453.52539899331805</v>
      </c>
      <c r="H20" s="237">
        <v>526.52039012769137</v>
      </c>
      <c r="I20" s="237">
        <v>374.67384099999998</v>
      </c>
      <c r="J20" s="237">
        <v>271.60703000000001</v>
      </c>
      <c r="K20" s="237">
        <v>275.77387499999998</v>
      </c>
      <c r="L20" s="237">
        <v>200.49498500000001</v>
      </c>
      <c r="M20" s="237">
        <v>144.938658</v>
      </c>
      <c r="N20" s="237">
        <v>199.88643099999999</v>
      </c>
      <c r="O20" s="237">
        <v>311.24318299999999</v>
      </c>
      <c r="P20" s="237">
        <v>272.33929408362388</v>
      </c>
      <c r="Q20" s="237">
        <v>-42.839410274561892</v>
      </c>
      <c r="R20" s="237">
        <v>370.23442905220998</v>
      </c>
      <c r="S20" s="237">
        <v>-270.23705687731683</v>
      </c>
      <c r="T20" s="237">
        <v>173.55208333762707</v>
      </c>
      <c r="U20" s="237">
        <v>-6.205247903113067</v>
      </c>
      <c r="V20" s="237">
        <v>-378.81917775799968</v>
      </c>
      <c r="W20" s="237">
        <v>-335.46599694399964</v>
      </c>
      <c r="X20" s="237">
        <v>-37.52664707892967</v>
      </c>
      <c r="Y20" s="237">
        <f t="shared" si="24"/>
        <v>-59.472799891178781</v>
      </c>
      <c r="Z20" s="237"/>
      <c r="AA20" s="237"/>
      <c r="AB20" s="237">
        <v>242.20626113325017</v>
      </c>
      <c r="AC20" s="237">
        <v>289.35936041828933</v>
      </c>
      <c r="AD20" s="237">
        <v>-52.234775599317537</v>
      </c>
      <c r="AE20" s="237">
        <v>-59.472799891178781</v>
      </c>
      <c r="AF20" s="237">
        <v>4.4415152370542774</v>
      </c>
      <c r="AG20" s="237"/>
      <c r="AH20" s="237"/>
      <c r="AI20" s="237"/>
      <c r="AK20" s="237">
        <f t="shared" si="25"/>
        <v>242.20626113325017</v>
      </c>
      <c r="AL20" s="237">
        <f t="shared" si="26"/>
        <v>47.153099285039161</v>
      </c>
      <c r="AM20" s="237">
        <f t="shared" si="26"/>
        <v>-341.59413601760684</v>
      </c>
      <c r="AN20" s="237">
        <f t="shared" si="26"/>
        <v>-7.2380242918612439</v>
      </c>
      <c r="AO20" s="237">
        <f t="shared" si="27"/>
        <v>4.4415152370542774</v>
      </c>
      <c r="AP20" s="237"/>
      <c r="AQ20" s="237"/>
      <c r="AR20" s="237"/>
      <c r="AT20" s="64"/>
    </row>
    <row r="21" spans="2:46" ht="15" customHeight="1" x14ac:dyDescent="0.25">
      <c r="B21" s="55" t="s">
        <v>67</v>
      </c>
      <c r="C21" s="246" t="s">
        <v>17</v>
      </c>
      <c r="D21" s="246" t="s">
        <v>17</v>
      </c>
      <c r="E21" s="246" t="s">
        <v>17</v>
      </c>
      <c r="F21" s="246" t="s">
        <v>17</v>
      </c>
      <c r="G21" s="246">
        <v>1816.2938705787067</v>
      </c>
      <c r="H21" s="246">
        <v>1853.004716055395</v>
      </c>
      <c r="I21" s="246">
        <f>SUM(I18:I20)</f>
        <v>1925.193561</v>
      </c>
      <c r="J21" s="246">
        <f t="shared" ref="J21:P21" si="28">SUM(J18:J20)</f>
        <v>1742.249233</v>
      </c>
      <c r="K21" s="246">
        <f t="shared" si="28"/>
        <v>1742.3651249999998</v>
      </c>
      <c r="L21" s="246">
        <f t="shared" si="28"/>
        <v>1791.5214579999999</v>
      </c>
      <c r="M21" s="246">
        <f t="shared" si="28"/>
        <v>1680.8870649999999</v>
      </c>
      <c r="N21" s="246">
        <f t="shared" si="28"/>
        <v>1799.7094539999998</v>
      </c>
      <c r="O21" s="246">
        <f t="shared" si="28"/>
        <v>1852.787311</v>
      </c>
      <c r="P21" s="246">
        <f t="shared" si="28"/>
        <v>1724.736356621082</v>
      </c>
      <c r="Q21" s="246">
        <v>1530.7478761630132</v>
      </c>
      <c r="R21" s="246">
        <v>1978.7243030097252</v>
      </c>
      <c r="S21" s="246">
        <v>1401.1289606736514</v>
      </c>
      <c r="T21" s="246">
        <v>1782.0533233245478</v>
      </c>
      <c r="U21" s="246">
        <v>1511.5329870152259</v>
      </c>
      <c r="V21" s="246">
        <v>1145.0127920640007</v>
      </c>
      <c r="W21" s="246">
        <v>1219.9467929539999</v>
      </c>
      <c r="X21" s="246">
        <v>1836.9412590108914</v>
      </c>
      <c r="Y21" s="246">
        <f t="shared" si="24"/>
        <v>-2054.6460688123243</v>
      </c>
      <c r="Z21" s="246"/>
      <c r="AA21" s="237"/>
      <c r="AB21" s="246">
        <v>722.01885455829881</v>
      </c>
      <c r="AC21" s="246">
        <v>1258.8726683405746</v>
      </c>
      <c r="AD21" s="246">
        <v>1404.2054394715408</v>
      </c>
      <c r="AE21" s="246">
        <v>-2054.6460688123243</v>
      </c>
      <c r="AF21" s="246">
        <v>-468.59481907039111</v>
      </c>
      <c r="AG21" s="246"/>
      <c r="AH21" s="246"/>
      <c r="AI21" s="246"/>
      <c r="AK21" s="246">
        <f t="shared" si="25"/>
        <v>722.01885455829881</v>
      </c>
      <c r="AL21" s="246">
        <f t="shared" si="26"/>
        <v>536.85381378227578</v>
      </c>
      <c r="AM21" s="246">
        <f t="shared" si="26"/>
        <v>145.33277113096619</v>
      </c>
      <c r="AN21" s="246">
        <f t="shared" si="26"/>
        <v>-3458.8515082838649</v>
      </c>
      <c r="AO21" s="246">
        <f t="shared" si="27"/>
        <v>-468.59481907039111</v>
      </c>
      <c r="AP21" s="246"/>
      <c r="AQ21" s="246"/>
      <c r="AR21" s="246"/>
      <c r="AT21" s="64"/>
    </row>
    <row r="22" spans="2:46" s="58" customFormat="1" ht="15" customHeight="1" outlineLevel="1" x14ac:dyDescent="0.25">
      <c r="B22" s="192" t="s">
        <v>306</v>
      </c>
      <c r="C22" s="97" t="s">
        <v>17</v>
      </c>
      <c r="D22" s="97" t="s">
        <v>17</v>
      </c>
      <c r="E22" s="97" t="s">
        <v>17</v>
      </c>
      <c r="F22" s="97" t="s">
        <v>17</v>
      </c>
      <c r="G22" s="97" t="s">
        <v>17</v>
      </c>
      <c r="H22" s="97" t="s">
        <v>17</v>
      </c>
      <c r="I22" s="97" t="s">
        <v>17</v>
      </c>
      <c r="J22" s="97" t="s">
        <v>17</v>
      </c>
      <c r="K22" s="97" t="s">
        <v>17</v>
      </c>
      <c r="L22" s="97" t="s">
        <v>17</v>
      </c>
      <c r="M22" s="97" t="s">
        <v>17</v>
      </c>
      <c r="N22" s="97" t="s">
        <v>17</v>
      </c>
      <c r="O22" s="97" t="s">
        <v>17</v>
      </c>
      <c r="P22" s="97" t="s">
        <v>17</v>
      </c>
      <c r="Q22" s="97" t="s">
        <v>17</v>
      </c>
      <c r="R22" s="97" t="s">
        <v>17</v>
      </c>
      <c r="S22" s="97" t="s">
        <v>17</v>
      </c>
      <c r="T22" s="97">
        <v>882.86644234752373</v>
      </c>
      <c r="U22" s="97">
        <v>650.22038462259786</v>
      </c>
      <c r="V22" s="97">
        <v>356.07730442321349</v>
      </c>
      <c r="W22" s="97">
        <v>420.25981199320017</v>
      </c>
      <c r="X22" s="97">
        <v>949.093665079331</v>
      </c>
      <c r="Y22" s="97">
        <f t="shared" si="24"/>
        <v>-1018.714226452557</v>
      </c>
      <c r="Z22" s="97"/>
      <c r="AA22" s="237"/>
      <c r="AB22" s="97">
        <v>456.55247506303715</v>
      </c>
      <c r="AC22" s="97">
        <v>755.17879379035594</v>
      </c>
      <c r="AD22" s="97">
        <v>640.00327211026001</v>
      </c>
      <c r="AE22" s="97">
        <v>-1018.714226452557</v>
      </c>
      <c r="AF22" s="97">
        <v>28.806388593902589</v>
      </c>
      <c r="AG22" s="97"/>
      <c r="AH22" s="97"/>
      <c r="AI22" s="97"/>
      <c r="AJ22" s="107"/>
      <c r="AK22" s="97">
        <f t="shared" si="25"/>
        <v>456.55247506303715</v>
      </c>
      <c r="AL22" s="97">
        <f t="shared" ref="AL22:AN24" si="29">+AC22-AB22</f>
        <v>298.62631872731879</v>
      </c>
      <c r="AM22" s="97">
        <f t="shared" si="29"/>
        <v>-115.17552168009593</v>
      </c>
      <c r="AN22" s="97">
        <f t="shared" si="29"/>
        <v>-1658.7174985628171</v>
      </c>
      <c r="AO22" s="97">
        <f t="shared" si="27"/>
        <v>28.806388593902589</v>
      </c>
      <c r="AP22" s="97"/>
      <c r="AQ22" s="97"/>
      <c r="AR22" s="97"/>
      <c r="AS22" s="107"/>
      <c r="AT22" s="64"/>
    </row>
    <row r="23" spans="2:46" s="58" customFormat="1" ht="15" customHeight="1" outlineLevel="1" x14ac:dyDescent="0.25">
      <c r="B23" s="192" t="s">
        <v>126</v>
      </c>
      <c r="C23" s="97" t="s">
        <v>17</v>
      </c>
      <c r="D23" s="97" t="s">
        <v>17</v>
      </c>
      <c r="E23" s="97" t="s">
        <v>17</v>
      </c>
      <c r="F23" s="97" t="s">
        <v>17</v>
      </c>
      <c r="G23" s="97" t="s">
        <v>17</v>
      </c>
      <c r="H23" s="97" t="s">
        <v>17</v>
      </c>
      <c r="I23" s="97" t="s">
        <v>17</v>
      </c>
      <c r="J23" s="97" t="s">
        <v>17</v>
      </c>
      <c r="K23" s="97" t="s">
        <v>17</v>
      </c>
      <c r="L23" s="97" t="s">
        <v>17</v>
      </c>
      <c r="M23" s="97" t="s">
        <v>17</v>
      </c>
      <c r="N23" s="97" t="s">
        <v>17</v>
      </c>
      <c r="O23" s="97" t="s">
        <v>17</v>
      </c>
      <c r="P23" s="97" t="s">
        <v>17</v>
      </c>
      <c r="Q23" s="97" t="s">
        <v>17</v>
      </c>
      <c r="R23" s="97" t="s">
        <v>17</v>
      </c>
      <c r="S23" s="97" t="s">
        <v>17</v>
      </c>
      <c r="T23" s="97">
        <v>824.96334165986684</v>
      </c>
      <c r="U23" s="97">
        <v>824.96334165986684</v>
      </c>
      <c r="V23" s="97">
        <v>763.43671096491289</v>
      </c>
      <c r="W23" s="97">
        <v>744.02495416044906</v>
      </c>
      <c r="X23" s="97">
        <v>843.39547385984793</v>
      </c>
      <c r="Y23" s="97">
        <f t="shared" si="24"/>
        <v>-953.87582658479892</v>
      </c>
      <c r="Z23" s="97"/>
      <c r="AA23" s="237"/>
      <c r="AB23" s="97">
        <v>225.85232432327538</v>
      </c>
      <c r="AC23" s="97">
        <v>451.64662837360493</v>
      </c>
      <c r="AD23" s="97">
        <v>705.00823907255608</v>
      </c>
      <c r="AE23" s="97">
        <v>-953.87582658479892</v>
      </c>
      <c r="AF23" s="97">
        <v>-160.55421546435903</v>
      </c>
      <c r="AG23" s="97"/>
      <c r="AH23" s="97"/>
      <c r="AI23" s="97"/>
      <c r="AJ23" s="107"/>
      <c r="AK23" s="97">
        <f t="shared" si="25"/>
        <v>225.85232432327538</v>
      </c>
      <c r="AL23" s="97">
        <f t="shared" si="29"/>
        <v>225.79430405032954</v>
      </c>
      <c r="AM23" s="97">
        <f t="shared" si="29"/>
        <v>253.36161069895115</v>
      </c>
      <c r="AN23" s="97">
        <f t="shared" si="29"/>
        <v>-1658.884065657355</v>
      </c>
      <c r="AO23" s="97">
        <f t="shared" si="27"/>
        <v>-160.55421546435903</v>
      </c>
      <c r="AP23" s="97"/>
      <c r="AQ23" s="97"/>
      <c r="AR23" s="97"/>
      <c r="AS23" s="107"/>
      <c r="AT23" s="64"/>
    </row>
    <row r="24" spans="2:46" s="58" customFormat="1" ht="15" customHeight="1" outlineLevel="1" x14ac:dyDescent="0.25">
      <c r="B24" s="192" t="s">
        <v>351</v>
      </c>
      <c r="C24" s="97" t="s">
        <v>17</v>
      </c>
      <c r="D24" s="97" t="s">
        <v>17</v>
      </c>
      <c r="E24" s="97" t="s">
        <v>17</v>
      </c>
      <c r="F24" s="97" t="s">
        <v>17</v>
      </c>
      <c r="G24" s="97" t="s">
        <v>17</v>
      </c>
      <c r="H24" s="97" t="s">
        <v>17</v>
      </c>
      <c r="I24" s="97" t="s">
        <v>17</v>
      </c>
      <c r="J24" s="97" t="s">
        <v>17</v>
      </c>
      <c r="K24" s="97" t="s">
        <v>17</v>
      </c>
      <c r="L24" s="97" t="s">
        <v>17</v>
      </c>
      <c r="M24" s="97" t="s">
        <v>17</v>
      </c>
      <c r="N24" s="97" t="s">
        <v>17</v>
      </c>
      <c r="O24" s="97" t="s">
        <v>17</v>
      </c>
      <c r="P24" s="97" t="s">
        <v>17</v>
      </c>
      <c r="Q24" s="97" t="s">
        <v>17</v>
      </c>
      <c r="R24" s="97" t="s">
        <v>17</v>
      </c>
      <c r="S24" s="97" t="s">
        <v>17</v>
      </c>
      <c r="T24" s="97">
        <v>36.349260732756193</v>
      </c>
      <c r="U24" s="97">
        <v>36.349260732756193</v>
      </c>
      <c r="V24" s="97">
        <v>25.498776675874296</v>
      </c>
      <c r="W24" s="97">
        <v>55.662026800350532</v>
      </c>
      <c r="X24" s="97">
        <v>44.45212007171267</v>
      </c>
      <c r="Y24" s="97">
        <f t="shared" si="24"/>
        <v>-82.056015774968273</v>
      </c>
      <c r="Z24" s="97"/>
      <c r="AA24" s="237"/>
      <c r="AB24" s="97">
        <v>39.614055171986223</v>
      </c>
      <c r="AC24" s="97">
        <v>52.047246176613726</v>
      </c>
      <c r="AD24" s="97">
        <v>59.193928288724692</v>
      </c>
      <c r="AE24" s="97">
        <v>-82.056015774968273</v>
      </c>
      <c r="AF24" s="97">
        <v>-3.6327797086370879</v>
      </c>
      <c r="AG24" s="97"/>
      <c r="AH24" s="97"/>
      <c r="AI24" s="97"/>
      <c r="AJ24" s="107"/>
      <c r="AK24" s="97">
        <f t="shared" si="25"/>
        <v>39.614055171986223</v>
      </c>
      <c r="AL24" s="97">
        <f t="shared" si="29"/>
        <v>12.433191004627503</v>
      </c>
      <c r="AM24" s="97">
        <f t="shared" si="29"/>
        <v>7.146682112110966</v>
      </c>
      <c r="AN24" s="97">
        <f t="shared" si="29"/>
        <v>-141.24994406369296</v>
      </c>
      <c r="AO24" s="97">
        <f t="shared" si="27"/>
        <v>-3.6327797086370879</v>
      </c>
      <c r="AP24" s="97"/>
      <c r="AQ24" s="97"/>
      <c r="AR24" s="97"/>
      <c r="AS24" s="107"/>
      <c r="AT24" s="64"/>
    </row>
    <row r="25" spans="2:46" ht="15" customHeight="1" x14ac:dyDescent="0.25">
      <c r="B25" t="s">
        <v>231</v>
      </c>
      <c r="C25" s="238" t="s">
        <v>17</v>
      </c>
      <c r="D25" s="238" t="s">
        <v>17</v>
      </c>
      <c r="E25" s="238" t="s">
        <v>17</v>
      </c>
      <c r="F25" s="238" t="s">
        <v>17</v>
      </c>
      <c r="G25" s="238">
        <v>35.295335111166331</v>
      </c>
      <c r="H25" s="238">
        <v>245.32902327084196</v>
      </c>
      <c r="I25" s="238">
        <v>23.708090664098897</v>
      </c>
      <c r="J25" s="238">
        <v>34.6867815356607</v>
      </c>
      <c r="K25" s="238">
        <v>25.152407652294301</v>
      </c>
      <c r="L25" s="238">
        <v>23.470024136642898</v>
      </c>
      <c r="M25" s="238">
        <v>19.477160734264601</v>
      </c>
      <c r="N25" s="238">
        <v>23.777080426121199</v>
      </c>
      <c r="O25" s="238">
        <v>-14.165549793519</v>
      </c>
      <c r="P25" s="238">
        <v>15.093776135408</v>
      </c>
      <c r="Q25" s="238">
        <v>-23.898775530068001</v>
      </c>
      <c r="R25" s="238">
        <v>-22.061984462392999</v>
      </c>
      <c r="S25" s="238">
        <v>11.520583613466</v>
      </c>
      <c r="T25" s="238">
        <v>10.857528404937998</v>
      </c>
      <c r="U25" s="237">
        <v>25.010804512674998</v>
      </c>
      <c r="V25" s="237">
        <v>3.2574351240000947</v>
      </c>
      <c r="W25" s="237">
        <v>108.1060566580002</v>
      </c>
      <c r="X25" s="237">
        <v>239.42958149759698</v>
      </c>
      <c r="Y25" s="237">
        <f t="shared" si="24"/>
        <v>77.711735938261853</v>
      </c>
      <c r="Z25" s="237"/>
      <c r="AA25" s="237"/>
      <c r="AB25" s="237">
        <v>18.4480127646586</v>
      </c>
      <c r="AC25" s="237">
        <v>48.925916204947988</v>
      </c>
      <c r="AD25" s="237">
        <v>65.076934472830359</v>
      </c>
      <c r="AE25" s="237">
        <v>77.711735938261853</v>
      </c>
      <c r="AF25" s="237">
        <v>25.455270660729074</v>
      </c>
      <c r="AG25" s="237"/>
      <c r="AH25" s="237"/>
      <c r="AI25" s="237"/>
      <c r="AK25" s="237">
        <f t="shared" si="25"/>
        <v>18.4480127646586</v>
      </c>
      <c r="AL25" s="237">
        <f t="shared" ref="AL25:AL34" si="30">AC25-AB25</f>
        <v>30.477903440289388</v>
      </c>
      <c r="AM25" s="237">
        <f t="shared" ref="AM25:AM34" si="31">AD25-AC25</f>
        <v>16.151018267882371</v>
      </c>
      <c r="AN25" s="237">
        <f t="shared" ref="AN25:AN34" si="32">AE25-AD25</f>
        <v>12.634801465431494</v>
      </c>
      <c r="AO25" s="237">
        <f t="shared" si="27"/>
        <v>25.455270660729074</v>
      </c>
      <c r="AP25" s="237"/>
      <c r="AQ25" s="237"/>
      <c r="AR25" s="237"/>
      <c r="AT25" s="64"/>
    </row>
    <row r="26" spans="2:46" s="58" customFormat="1" ht="15" customHeight="1" outlineLevel="1" x14ac:dyDescent="0.25">
      <c r="B26" s="192" t="s">
        <v>306</v>
      </c>
      <c r="C26" s="243" t="s">
        <v>17</v>
      </c>
      <c r="D26" s="243" t="s">
        <v>17</v>
      </c>
      <c r="E26" s="243" t="s">
        <v>17</v>
      </c>
      <c r="F26" s="243" t="s">
        <v>17</v>
      </c>
      <c r="G26" s="243" t="s">
        <v>17</v>
      </c>
      <c r="H26" s="243" t="s">
        <v>17</v>
      </c>
      <c r="I26" s="243" t="s">
        <v>17</v>
      </c>
      <c r="J26" s="243" t="s">
        <v>17</v>
      </c>
      <c r="K26" s="243" t="s">
        <v>17</v>
      </c>
      <c r="L26" s="243" t="s">
        <v>17</v>
      </c>
      <c r="M26" s="243" t="s">
        <v>17</v>
      </c>
      <c r="N26" s="243" t="s">
        <v>17</v>
      </c>
      <c r="O26" s="243" t="s">
        <v>17</v>
      </c>
      <c r="P26" s="243" t="s">
        <v>17</v>
      </c>
      <c r="Q26" s="243" t="s">
        <v>17</v>
      </c>
      <c r="R26" s="243" t="s">
        <v>17</v>
      </c>
      <c r="S26" s="243" t="s">
        <v>17</v>
      </c>
      <c r="T26" s="243" t="s">
        <v>17</v>
      </c>
      <c r="U26" s="243" t="s">
        <v>17</v>
      </c>
      <c r="V26" s="97">
        <v>2.563960278406781</v>
      </c>
      <c r="W26" s="97">
        <v>68.395206470397</v>
      </c>
      <c r="X26" s="97">
        <v>186.12315538201497</v>
      </c>
      <c r="Y26" s="97">
        <f t="shared" si="24"/>
        <v>26.435202801905</v>
      </c>
      <c r="Z26" s="97"/>
      <c r="AA26" s="237"/>
      <c r="AB26" s="97">
        <v>13.309610244758952</v>
      </c>
      <c r="AC26" s="97">
        <v>5.9534883465849999</v>
      </c>
      <c r="AD26" s="97">
        <v>9.0821603895229988</v>
      </c>
      <c r="AE26" s="97">
        <v>26.435202801905</v>
      </c>
      <c r="AF26" s="97">
        <v>10.000069702350467</v>
      </c>
      <c r="AG26" s="97"/>
      <c r="AH26" s="97"/>
      <c r="AI26" s="97"/>
      <c r="AJ26" s="107"/>
      <c r="AK26" s="97">
        <f t="shared" si="25"/>
        <v>13.309610244758952</v>
      </c>
      <c r="AL26" s="97">
        <f t="shared" si="30"/>
        <v>-7.356121898173952</v>
      </c>
      <c r="AM26" s="97">
        <f t="shared" si="31"/>
        <v>3.1286720429379988</v>
      </c>
      <c r="AN26" s="97">
        <f t="shared" si="32"/>
        <v>17.353042412382003</v>
      </c>
      <c r="AO26" s="97">
        <f t="shared" si="27"/>
        <v>10.000069702350467</v>
      </c>
      <c r="AP26" s="97"/>
      <c r="AQ26" s="97"/>
      <c r="AR26" s="97"/>
      <c r="AS26" s="107"/>
      <c r="AT26" s="64"/>
    </row>
    <row r="27" spans="2:46" s="58" customFormat="1" ht="15" customHeight="1" outlineLevel="1" x14ac:dyDescent="0.25">
      <c r="B27" s="192" t="s">
        <v>126</v>
      </c>
      <c r="C27" s="243" t="s">
        <v>17</v>
      </c>
      <c r="D27" s="243" t="s">
        <v>17</v>
      </c>
      <c r="E27" s="243" t="s">
        <v>17</v>
      </c>
      <c r="F27" s="243" t="s">
        <v>17</v>
      </c>
      <c r="G27" s="243" t="s">
        <v>17</v>
      </c>
      <c r="H27" s="243" t="s">
        <v>17</v>
      </c>
      <c r="I27" s="243" t="s">
        <v>17</v>
      </c>
      <c r="J27" s="243" t="s">
        <v>17</v>
      </c>
      <c r="K27" s="243" t="s">
        <v>17</v>
      </c>
      <c r="L27" s="243" t="s">
        <v>17</v>
      </c>
      <c r="M27" s="243" t="s">
        <v>17</v>
      </c>
      <c r="N27" s="243" t="s">
        <v>17</v>
      </c>
      <c r="O27" s="243" t="s">
        <v>17</v>
      </c>
      <c r="P27" s="243" t="s">
        <v>17</v>
      </c>
      <c r="Q27" s="243" t="s">
        <v>17</v>
      </c>
      <c r="R27" s="243" t="s">
        <v>17</v>
      </c>
      <c r="S27" s="243" t="s">
        <v>17</v>
      </c>
      <c r="T27" s="243" t="s">
        <v>17</v>
      </c>
      <c r="U27" s="243" t="s">
        <v>17</v>
      </c>
      <c r="V27" s="97">
        <v>2.3815595561334604</v>
      </c>
      <c r="W27" s="97">
        <v>0.25555322000000003</v>
      </c>
      <c r="X27" s="97">
        <v>0.317667851838</v>
      </c>
      <c r="Y27" s="97">
        <f t="shared" si="24"/>
        <v>9.5560140000000002E-2</v>
      </c>
      <c r="Z27" s="97"/>
      <c r="AA27" s="237"/>
      <c r="AB27" s="97">
        <v>0</v>
      </c>
      <c r="AC27" s="97">
        <v>-4.3443400000000004E-3</v>
      </c>
      <c r="AD27" s="97">
        <v>-4.3443455299999999E-3</v>
      </c>
      <c r="AE27" s="97">
        <v>9.5560140000000002E-2</v>
      </c>
      <c r="AF27" s="97">
        <v>5.223462550911</v>
      </c>
      <c r="AG27" s="97"/>
      <c r="AH27" s="97"/>
      <c r="AI27" s="97"/>
      <c r="AJ27" s="107"/>
      <c r="AK27" s="97">
        <f t="shared" si="25"/>
        <v>0</v>
      </c>
      <c r="AL27" s="97">
        <f t="shared" si="30"/>
        <v>-4.3443400000000004E-3</v>
      </c>
      <c r="AM27" s="97">
        <f t="shared" si="31"/>
        <v>-5.529999999587254E-9</v>
      </c>
      <c r="AN27" s="97">
        <f t="shared" si="32"/>
        <v>9.9904485530000003E-2</v>
      </c>
      <c r="AO27" s="97">
        <f t="shared" si="27"/>
        <v>5.223462550911</v>
      </c>
      <c r="AP27" s="97"/>
      <c r="AQ27" s="97"/>
      <c r="AR27" s="97"/>
      <c r="AS27" s="107"/>
      <c r="AT27" s="64"/>
    </row>
    <row r="28" spans="2:46" s="58" customFormat="1" ht="15" customHeight="1" outlineLevel="1" x14ac:dyDescent="0.25">
      <c r="B28" s="192" t="s">
        <v>351</v>
      </c>
      <c r="C28" s="243" t="s">
        <v>17</v>
      </c>
      <c r="D28" s="243" t="s">
        <v>17</v>
      </c>
      <c r="E28" s="243" t="s">
        <v>17</v>
      </c>
      <c r="F28" s="243" t="s">
        <v>17</v>
      </c>
      <c r="G28" s="243" t="s">
        <v>17</v>
      </c>
      <c r="H28" s="243" t="s">
        <v>17</v>
      </c>
      <c r="I28" s="243" t="s">
        <v>17</v>
      </c>
      <c r="J28" s="243" t="s">
        <v>17</v>
      </c>
      <c r="K28" s="243" t="s">
        <v>17</v>
      </c>
      <c r="L28" s="243" t="s">
        <v>17</v>
      </c>
      <c r="M28" s="243" t="s">
        <v>17</v>
      </c>
      <c r="N28" s="243" t="s">
        <v>17</v>
      </c>
      <c r="O28" s="243" t="s">
        <v>17</v>
      </c>
      <c r="P28" s="243" t="s">
        <v>17</v>
      </c>
      <c r="Q28" s="243" t="s">
        <v>17</v>
      </c>
      <c r="R28" s="243" t="s">
        <v>17</v>
      </c>
      <c r="S28" s="243" t="s">
        <v>17</v>
      </c>
      <c r="T28" s="243" t="s">
        <v>17</v>
      </c>
      <c r="U28" s="243" t="s">
        <v>17</v>
      </c>
      <c r="V28" s="97">
        <v>-1.6880847105401466</v>
      </c>
      <c r="W28" s="97">
        <v>39.455296967603203</v>
      </c>
      <c r="X28" s="97">
        <v>52.988758263744018</v>
      </c>
      <c r="Y28" s="97">
        <f t="shared" si="24"/>
        <v>51.180972996356857</v>
      </c>
      <c r="Z28" s="97"/>
      <c r="AA28" s="237"/>
      <c r="AB28" s="97">
        <v>5.5365396206985196</v>
      </c>
      <c r="AC28" s="97">
        <v>42.976772198362987</v>
      </c>
      <c r="AD28" s="97">
        <v>55.999118428837363</v>
      </c>
      <c r="AE28" s="97">
        <v>51.180972996356857</v>
      </c>
      <c r="AF28" s="97">
        <v>-0.40532641182592855</v>
      </c>
      <c r="AG28" s="97"/>
      <c r="AH28" s="97"/>
      <c r="AI28" s="97"/>
      <c r="AJ28" s="107"/>
      <c r="AK28" s="97">
        <f t="shared" si="25"/>
        <v>5.5365396206985196</v>
      </c>
      <c r="AL28" s="97">
        <f t="shared" si="30"/>
        <v>37.440232577664467</v>
      </c>
      <c r="AM28" s="97">
        <f t="shared" si="31"/>
        <v>13.022346230474376</v>
      </c>
      <c r="AN28" s="97">
        <f t="shared" si="32"/>
        <v>-4.818145432480506</v>
      </c>
      <c r="AO28" s="97">
        <f t="shared" si="27"/>
        <v>-0.40532641182592855</v>
      </c>
      <c r="AP28" s="97"/>
      <c r="AQ28" s="97"/>
      <c r="AR28" s="97"/>
      <c r="AS28" s="107"/>
      <c r="AT28" s="64"/>
    </row>
    <row r="29" spans="2:46" ht="15" customHeight="1" x14ac:dyDescent="0.25">
      <c r="B29" s="6" t="s">
        <v>72</v>
      </c>
      <c r="C29" s="244">
        <v>1454.2</v>
      </c>
      <c r="D29" s="244">
        <v>1483.8</v>
      </c>
      <c r="E29" s="244">
        <v>1827</v>
      </c>
      <c r="F29" s="244">
        <v>1968</v>
      </c>
      <c r="G29" s="244">
        <v>2047.5</v>
      </c>
      <c r="H29" s="244">
        <v>2305.4</v>
      </c>
      <c r="I29" s="244">
        <v>2628.2742119999998</v>
      </c>
      <c r="J29" s="244">
        <v>3154.9357009999999</v>
      </c>
      <c r="K29" s="244">
        <v>3362.9484349999998</v>
      </c>
      <c r="L29" s="244">
        <v>3612.809808</v>
      </c>
      <c r="M29" s="244">
        <v>3755.5876669999998</v>
      </c>
      <c r="N29" s="244">
        <v>3628.4575359999999</v>
      </c>
      <c r="O29" s="244">
        <v>3598.0093710000001</v>
      </c>
      <c r="P29" s="244">
        <v>3642.3926979072326</v>
      </c>
      <c r="Q29" s="244">
        <v>3923.9583122898698</v>
      </c>
      <c r="R29" s="244">
        <v>3759.307455204339</v>
      </c>
      <c r="S29" s="244">
        <v>3989.9482411340646</v>
      </c>
      <c r="T29" s="244">
        <v>3317.1293325296206</v>
      </c>
      <c r="U29" s="244">
        <v>3730.6276583605331</v>
      </c>
      <c r="V29" s="244">
        <v>3949.9625844909988</v>
      </c>
      <c r="W29" s="244">
        <v>3723.0500326669921</v>
      </c>
      <c r="X29" s="244">
        <v>4523.5388726007122</v>
      </c>
      <c r="Y29" s="244">
        <f t="shared" si="24"/>
        <v>5020.0255202586986</v>
      </c>
      <c r="Z29" s="244"/>
      <c r="AA29" s="237"/>
      <c r="AB29" s="244">
        <v>1415.4758220632948</v>
      </c>
      <c r="AC29" s="244">
        <v>2454.2068384571003</v>
      </c>
      <c r="AD29" s="449">
        <v>3819.9755983889372</v>
      </c>
      <c r="AE29" s="449">
        <v>5020.0255202586986</v>
      </c>
      <c r="AF29" s="244">
        <v>1340.7289388081538</v>
      </c>
      <c r="AG29" s="244"/>
      <c r="AH29" s="449"/>
      <c r="AI29" s="449"/>
      <c r="AK29" s="244">
        <f t="shared" si="25"/>
        <v>1415.4758220632948</v>
      </c>
      <c r="AL29" s="244">
        <f t="shared" si="30"/>
        <v>1038.7310163938055</v>
      </c>
      <c r="AM29" s="244">
        <f t="shared" si="31"/>
        <v>1365.7687599318369</v>
      </c>
      <c r="AN29" s="244">
        <f t="shared" si="32"/>
        <v>1200.0499218697614</v>
      </c>
      <c r="AO29" s="244">
        <f t="shared" si="27"/>
        <v>1340.7289388081538</v>
      </c>
      <c r="AP29" s="244"/>
      <c r="AQ29" s="244"/>
      <c r="AR29" s="244"/>
      <c r="AT29" s="64"/>
    </row>
    <row r="30" spans="2:46" s="58" customFormat="1" ht="15" customHeight="1" outlineLevel="1" x14ac:dyDescent="0.25">
      <c r="B30" s="192" t="s">
        <v>306</v>
      </c>
      <c r="C30" s="97" t="s">
        <v>17</v>
      </c>
      <c r="D30" s="97" t="s">
        <v>17</v>
      </c>
      <c r="E30" s="97" t="s">
        <v>17</v>
      </c>
      <c r="F30" s="97" t="s">
        <v>17</v>
      </c>
      <c r="G30" s="97" t="s">
        <v>17</v>
      </c>
      <c r="H30" s="97" t="s">
        <v>17</v>
      </c>
      <c r="I30" s="97" t="s">
        <v>17</v>
      </c>
      <c r="J30" s="97" t="s">
        <v>17</v>
      </c>
      <c r="K30" s="97" t="s">
        <v>17</v>
      </c>
      <c r="L30" s="97" t="s">
        <v>17</v>
      </c>
      <c r="M30" s="97" t="s">
        <v>17</v>
      </c>
      <c r="N30" s="97" t="s">
        <v>17</v>
      </c>
      <c r="O30" s="97" t="s">
        <v>17</v>
      </c>
      <c r="P30" s="97" t="s">
        <v>17</v>
      </c>
      <c r="Q30" s="97" t="s">
        <v>17</v>
      </c>
      <c r="R30" s="97" t="s">
        <v>17</v>
      </c>
      <c r="S30" s="97" t="s">
        <v>17</v>
      </c>
      <c r="T30" s="97">
        <v>2508.8918557380612</v>
      </c>
      <c r="U30" s="97">
        <v>2776.9297831066037</v>
      </c>
      <c r="V30" s="97">
        <v>3088.9923197362546</v>
      </c>
      <c r="W30" s="97">
        <v>2416.0892459815182</v>
      </c>
      <c r="X30" s="97">
        <v>3013.6177580252111</v>
      </c>
      <c r="Y30" s="97">
        <f t="shared" si="24"/>
        <v>3551.8221490212622</v>
      </c>
      <c r="Z30" s="97"/>
      <c r="AA30" s="237"/>
      <c r="AB30" s="97">
        <v>1052.4679430486776</v>
      </c>
      <c r="AC30" s="97">
        <v>1731.4479544378792</v>
      </c>
      <c r="AD30" s="97">
        <v>2697.4416757890576</v>
      </c>
      <c r="AE30" s="97">
        <v>3551.8221490212622</v>
      </c>
      <c r="AF30" s="97">
        <v>865.01919163333719</v>
      </c>
      <c r="AG30" s="97"/>
      <c r="AH30" s="97"/>
      <c r="AI30" s="97"/>
      <c r="AJ30" s="107"/>
      <c r="AK30" s="97">
        <f t="shared" si="25"/>
        <v>1052.4679430486776</v>
      </c>
      <c r="AL30" s="97">
        <f t="shared" si="30"/>
        <v>678.98001138920154</v>
      </c>
      <c r="AM30" s="97">
        <f t="shared" si="31"/>
        <v>965.99372135117846</v>
      </c>
      <c r="AN30" s="97">
        <f t="shared" si="32"/>
        <v>854.38047323220462</v>
      </c>
      <c r="AO30" s="97">
        <f t="shared" si="27"/>
        <v>865.01919163333719</v>
      </c>
      <c r="AP30" s="97"/>
      <c r="AQ30" s="97"/>
      <c r="AR30" s="97"/>
      <c r="AS30" s="107"/>
      <c r="AT30" s="64"/>
    </row>
    <row r="31" spans="2:46" s="58" customFormat="1" ht="15" customHeight="1" outlineLevel="1" x14ac:dyDescent="0.25">
      <c r="B31" s="192" t="s">
        <v>126</v>
      </c>
      <c r="C31" s="97" t="s">
        <v>17</v>
      </c>
      <c r="D31" s="97" t="s">
        <v>17</v>
      </c>
      <c r="E31" s="97" t="s">
        <v>17</v>
      </c>
      <c r="F31" s="97" t="s">
        <v>17</v>
      </c>
      <c r="G31" s="97" t="s">
        <v>17</v>
      </c>
      <c r="H31" s="97" t="s">
        <v>17</v>
      </c>
      <c r="I31" s="97" t="s">
        <v>17</v>
      </c>
      <c r="J31" s="97" t="s">
        <v>17</v>
      </c>
      <c r="K31" s="97" t="s">
        <v>17</v>
      </c>
      <c r="L31" s="97" t="s">
        <v>17</v>
      </c>
      <c r="M31" s="97" t="s">
        <v>17</v>
      </c>
      <c r="N31" s="97" t="s">
        <v>17</v>
      </c>
      <c r="O31" s="97" t="s">
        <v>17</v>
      </c>
      <c r="P31" s="97" t="s">
        <v>17</v>
      </c>
      <c r="Q31" s="97" t="s">
        <v>17</v>
      </c>
      <c r="R31" s="97" t="s">
        <v>17</v>
      </c>
      <c r="S31" s="97" t="s">
        <v>17</v>
      </c>
      <c r="T31" s="97">
        <v>831.04841438653852</v>
      </c>
      <c r="U31" s="97">
        <v>996.96800933368093</v>
      </c>
      <c r="V31" s="97">
        <v>907.50198161450226</v>
      </c>
      <c r="W31" s="97">
        <v>1327.1178949812515</v>
      </c>
      <c r="X31" s="97">
        <v>1505.6993120151105</v>
      </c>
      <c r="Y31" s="97">
        <f t="shared" si="24"/>
        <v>1500.6259671897819</v>
      </c>
      <c r="Z31" s="97"/>
      <c r="AA31" s="237"/>
      <c r="AB31" s="97">
        <v>380.87947690832868</v>
      </c>
      <c r="AC31" s="97">
        <v>725.77438257807</v>
      </c>
      <c r="AD31" s="450">
        <v>1115.1028732307227</v>
      </c>
      <c r="AE31" s="450">
        <v>1500.6259671897819</v>
      </c>
      <c r="AF31" s="97">
        <v>473.2391872131509</v>
      </c>
      <c r="AG31" s="97"/>
      <c r="AH31" s="450"/>
      <c r="AI31" s="450"/>
      <c r="AJ31" s="107"/>
      <c r="AK31" s="97">
        <f t="shared" si="25"/>
        <v>380.87947690832868</v>
      </c>
      <c r="AL31" s="97">
        <f t="shared" si="30"/>
        <v>344.89490566974132</v>
      </c>
      <c r="AM31" s="97">
        <f t="shared" si="31"/>
        <v>389.3284906526527</v>
      </c>
      <c r="AN31" s="97">
        <f t="shared" si="32"/>
        <v>385.52309395905922</v>
      </c>
      <c r="AO31" s="97">
        <f t="shared" si="27"/>
        <v>473.2391872131509</v>
      </c>
      <c r="AP31" s="97"/>
      <c r="AQ31" s="97"/>
      <c r="AR31" s="97"/>
      <c r="AS31" s="107"/>
      <c r="AT31" s="64"/>
    </row>
    <row r="32" spans="2:46" s="58" customFormat="1" ht="15" customHeight="1" outlineLevel="1" x14ac:dyDescent="0.25">
      <c r="B32" s="192" t="s">
        <v>351</v>
      </c>
      <c r="C32" s="97" t="s">
        <v>17</v>
      </c>
      <c r="D32" s="97" t="s">
        <v>17</v>
      </c>
      <c r="E32" s="97" t="s">
        <v>17</v>
      </c>
      <c r="F32" s="97" t="s">
        <v>17</v>
      </c>
      <c r="G32" s="97" t="s">
        <v>17</v>
      </c>
      <c r="H32" s="97" t="s">
        <v>17</v>
      </c>
      <c r="I32" s="97" t="s">
        <v>17</v>
      </c>
      <c r="J32" s="97" t="s">
        <v>17</v>
      </c>
      <c r="K32" s="97" t="s">
        <v>17</v>
      </c>
      <c r="L32" s="97" t="s">
        <v>17</v>
      </c>
      <c r="M32" s="97" t="s">
        <v>17</v>
      </c>
      <c r="N32" s="97" t="s">
        <v>17</v>
      </c>
      <c r="O32" s="97" t="s">
        <v>17</v>
      </c>
      <c r="P32" s="97" t="s">
        <v>17</v>
      </c>
      <c r="Q32" s="97" t="s">
        <v>17</v>
      </c>
      <c r="R32" s="97" t="s">
        <v>17</v>
      </c>
      <c r="S32" s="97" t="s">
        <v>17</v>
      </c>
      <c r="T32" s="97">
        <v>-22.810937594978896</v>
      </c>
      <c r="U32" s="97">
        <v>-43.270134079751642</v>
      </c>
      <c r="V32" s="97">
        <v>-46.531716859758035</v>
      </c>
      <c r="W32" s="97">
        <v>-20.157108295777562</v>
      </c>
      <c r="X32" s="97">
        <v>4.2218025603906426</v>
      </c>
      <c r="Y32" s="97">
        <f t="shared" si="24"/>
        <v>-32.422595952345546</v>
      </c>
      <c r="Z32" s="97"/>
      <c r="AA32" s="237"/>
      <c r="AB32" s="97">
        <v>-17.871597893710643</v>
      </c>
      <c r="AC32" s="97">
        <v>-3.0154985588487762</v>
      </c>
      <c r="AD32" s="97">
        <v>7.4310493691568809</v>
      </c>
      <c r="AE32" s="97">
        <v>-32.422595952345546</v>
      </c>
      <c r="AF32" s="97">
        <v>2.4705599616656855</v>
      </c>
      <c r="AG32" s="97"/>
      <c r="AH32" s="97"/>
      <c r="AI32" s="97"/>
      <c r="AJ32" s="107"/>
      <c r="AK32" s="97">
        <f t="shared" si="25"/>
        <v>-17.871597893710643</v>
      </c>
      <c r="AL32" s="97">
        <f t="shared" si="30"/>
        <v>14.856099334861867</v>
      </c>
      <c r="AM32" s="97">
        <f t="shared" si="31"/>
        <v>10.446547928005657</v>
      </c>
      <c r="AN32" s="97">
        <f t="shared" si="32"/>
        <v>-39.853645321502427</v>
      </c>
      <c r="AO32" s="97">
        <f t="shared" si="27"/>
        <v>2.4705599616656855</v>
      </c>
      <c r="AP32" s="97"/>
      <c r="AQ32" s="97"/>
      <c r="AR32" s="97"/>
      <c r="AS32" s="107"/>
      <c r="AT32" s="64"/>
    </row>
    <row r="33" spans="2:46" ht="15" customHeight="1" x14ac:dyDescent="0.25">
      <c r="B33" s="222" t="s">
        <v>232</v>
      </c>
      <c r="C33" s="237" t="s">
        <v>17</v>
      </c>
      <c r="D33" s="237" t="s">
        <v>17</v>
      </c>
      <c r="E33" s="237" t="s">
        <v>17</v>
      </c>
      <c r="F33" s="237" t="s">
        <v>17</v>
      </c>
      <c r="G33" s="237" t="s">
        <v>17</v>
      </c>
      <c r="H33" s="237" t="s">
        <v>17</v>
      </c>
      <c r="I33" s="237" t="s">
        <v>17</v>
      </c>
      <c r="J33" s="237" t="s">
        <v>17</v>
      </c>
      <c r="K33" s="237" t="s">
        <v>17</v>
      </c>
      <c r="L33" s="237" t="s">
        <v>17</v>
      </c>
      <c r="M33" s="237" t="s">
        <v>17</v>
      </c>
      <c r="N33" s="237" t="s">
        <v>17</v>
      </c>
      <c r="O33" s="237" t="s">
        <v>17</v>
      </c>
      <c r="P33" s="237">
        <f>P29-P34</f>
        <v>211.39269790723256</v>
      </c>
      <c r="Q33" s="237">
        <f>Q29-Q34</f>
        <v>440.95831228986981</v>
      </c>
      <c r="R33" s="237">
        <v>61.307455204339</v>
      </c>
      <c r="S33" s="237">
        <v>466.94824113406497</v>
      </c>
      <c r="T33" s="237">
        <v>30.522707963519156</v>
      </c>
      <c r="U33" s="237">
        <v>-2.2593949925438825</v>
      </c>
      <c r="V33" s="237">
        <v>445.7083756337438</v>
      </c>
      <c r="W33" s="237">
        <v>-12.044400580000001</v>
      </c>
      <c r="X33" s="237">
        <v>1.0805361933971653</v>
      </c>
      <c r="Y33" s="97">
        <f t="shared" si="24"/>
        <v>36.441579314910086</v>
      </c>
      <c r="Z33" s="97"/>
      <c r="AA33" s="237"/>
      <c r="AB33" s="237">
        <v>0</v>
      </c>
      <c r="AC33" s="237">
        <v>-10.088306999999986</v>
      </c>
      <c r="AD33" s="237">
        <v>-10.088307000003624</v>
      </c>
      <c r="AE33" s="237">
        <v>36.441579314910086</v>
      </c>
      <c r="AF33" s="237">
        <v>-1.3456572700006291</v>
      </c>
      <c r="AG33" s="237"/>
      <c r="AH33" s="237"/>
      <c r="AI33" s="237"/>
      <c r="AK33" s="237">
        <f t="shared" si="25"/>
        <v>0</v>
      </c>
      <c r="AL33" s="237">
        <f t="shared" si="30"/>
        <v>-10.088306999999986</v>
      </c>
      <c r="AM33" s="237">
        <f t="shared" si="31"/>
        <v>-3.637978807091713E-12</v>
      </c>
      <c r="AN33" s="237">
        <f t="shared" si="32"/>
        <v>46.529886314913711</v>
      </c>
      <c r="AO33" s="237">
        <f t="shared" si="27"/>
        <v>-1.3456572700006291</v>
      </c>
      <c r="AP33" s="237"/>
      <c r="AQ33" s="237"/>
      <c r="AR33" s="237"/>
      <c r="AT33" s="64"/>
    </row>
    <row r="34" spans="2:46" ht="15" customHeight="1" x14ac:dyDescent="0.25">
      <c r="B34" s="6" t="s">
        <v>233</v>
      </c>
      <c r="C34" s="237" t="s">
        <v>17</v>
      </c>
      <c r="D34" s="237" t="s">
        <v>17</v>
      </c>
      <c r="E34" s="237" t="s">
        <v>17</v>
      </c>
      <c r="F34" s="237" t="s">
        <v>17</v>
      </c>
      <c r="G34" s="237" t="s">
        <v>17</v>
      </c>
      <c r="H34" s="237" t="s">
        <v>17</v>
      </c>
      <c r="I34" s="237" t="s">
        <v>17</v>
      </c>
      <c r="J34" s="237" t="s">
        <v>17</v>
      </c>
      <c r="K34" s="237" t="s">
        <v>17</v>
      </c>
      <c r="L34" s="237" t="s">
        <v>17</v>
      </c>
      <c r="M34" s="237" t="s">
        <v>17</v>
      </c>
      <c r="N34" s="237" t="s">
        <v>17</v>
      </c>
      <c r="O34" s="237" t="s">
        <v>17</v>
      </c>
      <c r="P34" s="244">
        <v>3431</v>
      </c>
      <c r="Q34" s="244">
        <v>3483</v>
      </c>
      <c r="R34" s="244">
        <v>3698</v>
      </c>
      <c r="S34" s="244">
        <v>3523</v>
      </c>
      <c r="T34" s="244">
        <v>3286.6660797041832</v>
      </c>
      <c r="U34" s="244">
        <v>3732.8870533530867</v>
      </c>
      <c r="V34" s="244">
        <v>3504.254208857255</v>
      </c>
      <c r="W34" s="244">
        <v>3735.0944332469921</v>
      </c>
      <c r="X34" s="244">
        <v>4522.4583364073105</v>
      </c>
      <c r="Y34" s="244">
        <f t="shared" si="24"/>
        <v>4983.583940943794</v>
      </c>
      <c r="Z34" s="525"/>
      <c r="AA34" s="237"/>
      <c r="AB34" s="244">
        <v>1415.4758220632948</v>
      </c>
      <c r="AC34" s="244">
        <v>2464.2951454571003</v>
      </c>
      <c r="AD34" s="244">
        <v>3830.0639053889427</v>
      </c>
      <c r="AE34" s="244">
        <v>4983.583940943794</v>
      </c>
      <c r="AF34" s="244">
        <v>1342.0745960781544</v>
      </c>
      <c r="AG34" s="244"/>
      <c r="AH34" s="244"/>
      <c r="AI34" s="244"/>
      <c r="AK34" s="244">
        <f t="shared" si="25"/>
        <v>1415.4758220632948</v>
      </c>
      <c r="AL34" s="244">
        <f t="shared" si="30"/>
        <v>1048.8193233938055</v>
      </c>
      <c r="AM34" s="244">
        <f t="shared" si="31"/>
        <v>1365.7687599318424</v>
      </c>
      <c r="AN34" s="244">
        <f t="shared" si="32"/>
        <v>1153.5200355548513</v>
      </c>
      <c r="AO34" s="244">
        <f t="shared" si="27"/>
        <v>1342.0745960781544</v>
      </c>
      <c r="AP34" s="244"/>
      <c r="AQ34" s="244"/>
      <c r="AR34" s="244"/>
      <c r="AT34" s="64"/>
    </row>
    <row r="35" spans="2:46" s="203" customFormat="1" ht="15" customHeight="1" x14ac:dyDescent="0.25">
      <c r="B35" s="510" t="s">
        <v>18</v>
      </c>
      <c r="C35" s="511" t="str">
        <f t="shared" ref="C35:X35" si="33">IFERROR(C34/B34-1,"-")</f>
        <v>-</v>
      </c>
      <c r="D35" s="511" t="str">
        <f t="shared" si="33"/>
        <v>-</v>
      </c>
      <c r="E35" s="511" t="str">
        <f t="shared" si="33"/>
        <v>-</v>
      </c>
      <c r="F35" s="511" t="str">
        <f t="shared" si="33"/>
        <v>-</v>
      </c>
      <c r="G35" s="511" t="str">
        <f t="shared" si="33"/>
        <v>-</v>
      </c>
      <c r="H35" s="511" t="str">
        <f t="shared" si="33"/>
        <v>-</v>
      </c>
      <c r="I35" s="511" t="str">
        <f t="shared" si="33"/>
        <v>-</v>
      </c>
      <c r="J35" s="511" t="str">
        <f t="shared" si="33"/>
        <v>-</v>
      </c>
      <c r="K35" s="511" t="str">
        <f t="shared" si="33"/>
        <v>-</v>
      </c>
      <c r="L35" s="511" t="str">
        <f t="shared" si="33"/>
        <v>-</v>
      </c>
      <c r="M35" s="511" t="str">
        <f t="shared" si="33"/>
        <v>-</v>
      </c>
      <c r="N35" s="511" t="str">
        <f t="shared" si="33"/>
        <v>-</v>
      </c>
      <c r="O35" s="511" t="str">
        <f t="shared" si="33"/>
        <v>-</v>
      </c>
      <c r="P35" s="511" t="str">
        <f t="shared" si="33"/>
        <v>-</v>
      </c>
      <c r="Q35" s="511">
        <f t="shared" si="33"/>
        <v>1.5155931215389051E-2</v>
      </c>
      <c r="R35" s="511">
        <f t="shared" si="33"/>
        <v>6.1728395061728447E-2</v>
      </c>
      <c r="S35" s="511">
        <f t="shared" si="33"/>
        <v>-4.7322877230935645E-2</v>
      </c>
      <c r="T35" s="511">
        <f t="shared" si="33"/>
        <v>-6.708314513080238E-2</v>
      </c>
      <c r="U35" s="511">
        <f t="shared" si="33"/>
        <v>0.13576705476848017</v>
      </c>
      <c r="V35" s="511">
        <f t="shared" si="33"/>
        <v>-6.1248262063129166E-2</v>
      </c>
      <c r="W35" s="245">
        <f t="shared" si="33"/>
        <v>6.587428041215504E-2</v>
      </c>
      <c r="X35" s="245">
        <f t="shared" si="33"/>
        <v>0.21080160548333104</v>
      </c>
      <c r="Y35" s="245">
        <f>IFERROR(Y34/X34-1,"-")</f>
        <v>0.10196348318441473</v>
      </c>
      <c r="Z35" s="245"/>
      <c r="AA35" s="404"/>
      <c r="AB35" s="245" t="str">
        <f>IFERROR(AB34/#REF!-1,"-")</f>
        <v>-</v>
      </c>
      <c r="AC35" s="245" t="str">
        <f>IFERROR(AC34/#REF!-1,"-")</f>
        <v>-</v>
      </c>
      <c r="AD35" s="245" t="str">
        <f>IFERROR(AD34/#REF!-1,"-")</f>
        <v>-</v>
      </c>
      <c r="AE35" s="245" t="str">
        <f>IFERROR(AE34/#REF!-1,"-")</f>
        <v>-</v>
      </c>
      <c r="AF35" s="245">
        <f>IFERROR(AF34/AB34-1,"-")</f>
        <v>-5.1856220248358453E-2</v>
      </c>
      <c r="AG35" s="245"/>
      <c r="AH35" s="245"/>
      <c r="AI35" s="245"/>
      <c r="AJ35" s="513"/>
      <c r="AK35" s="245" t="str">
        <f>IFERROR(AK34/#REF!-1,"-")</f>
        <v>-</v>
      </c>
      <c r="AL35" s="245" t="str">
        <f>IFERROR(AL34/#REF!-1,"-")</f>
        <v>-</v>
      </c>
      <c r="AM35" s="245" t="str">
        <f>IFERROR(AM34/#REF!-1,"-")</f>
        <v>-</v>
      </c>
      <c r="AN35" s="245" t="str">
        <f>IFERROR(AN34/#REF!-1,"-")</f>
        <v>-</v>
      </c>
      <c r="AO35" s="245">
        <f>IFERROR(AO34/AK34-1,"-")</f>
        <v>-5.1856220248358453E-2</v>
      </c>
      <c r="AP35" s="245"/>
      <c r="AQ35" s="245"/>
      <c r="AR35" s="245"/>
      <c r="AS35" s="513"/>
    </row>
    <row r="36" spans="2:46" s="58" customFormat="1" ht="15" customHeight="1" outlineLevel="1" x14ac:dyDescent="0.25">
      <c r="B36" s="192" t="s">
        <v>306</v>
      </c>
      <c r="C36" s="97" t="s">
        <v>17</v>
      </c>
      <c r="D36" s="97" t="s">
        <v>17</v>
      </c>
      <c r="E36" s="97" t="s">
        <v>17</v>
      </c>
      <c r="F36" s="97" t="s">
        <v>17</v>
      </c>
      <c r="G36" s="97" t="s">
        <v>17</v>
      </c>
      <c r="H36" s="97" t="s">
        <v>17</v>
      </c>
      <c r="I36" s="97" t="s">
        <v>17</v>
      </c>
      <c r="J36" s="97" t="s">
        <v>17</v>
      </c>
      <c r="K36" s="97" t="s">
        <v>17</v>
      </c>
      <c r="L36" s="97" t="s">
        <v>17</v>
      </c>
      <c r="M36" s="97" t="s">
        <v>17</v>
      </c>
      <c r="N36" s="97" t="s">
        <v>17</v>
      </c>
      <c r="O36" s="97" t="s">
        <v>17</v>
      </c>
      <c r="P36" s="97" t="s">
        <v>17</v>
      </c>
      <c r="Q36" s="97" t="s">
        <v>17</v>
      </c>
      <c r="R36" s="97" t="s">
        <v>17</v>
      </c>
      <c r="S36" s="97" t="s">
        <v>17</v>
      </c>
      <c r="T36" s="97">
        <v>2458.8795343449428</v>
      </c>
      <c r="U36" s="97">
        <v>2770.4582321066036</v>
      </c>
      <c r="V36" s="97">
        <v>2655.1982243675166</v>
      </c>
      <c r="W36" s="97">
        <v>2414.0229308815278</v>
      </c>
      <c r="X36" s="97">
        <v>3026.1849405718085</v>
      </c>
      <c r="Y36" s="97">
        <f t="shared" ref="Y36:Y47" si="34">AE36</f>
        <v>3544.6024799961565</v>
      </c>
      <c r="Z36" s="97"/>
      <c r="AA36" s="237"/>
      <c r="AB36" s="97">
        <v>1052.4679430486776</v>
      </c>
      <c r="AC36" s="97">
        <v>1741.536261437876</v>
      </c>
      <c r="AD36" s="97">
        <v>2707.5299827890576</v>
      </c>
      <c r="AE36" s="97">
        <v>3544.6024799961565</v>
      </c>
      <c r="AF36" s="97">
        <v>20.637134521643553</v>
      </c>
      <c r="AG36" s="97"/>
      <c r="AH36" s="97"/>
      <c r="AI36" s="97"/>
      <c r="AJ36" s="107"/>
      <c r="AK36" s="97">
        <f t="shared" ref="AK36:AK47" si="35">AB36</f>
        <v>1052.4679430486776</v>
      </c>
      <c r="AL36" s="97">
        <f t="shared" ref="AL36:AL47" si="36">AC36-AB36</f>
        <v>689.06831838919834</v>
      </c>
      <c r="AM36" s="97">
        <f t="shared" ref="AM36:AM47" si="37">AD36-AC36</f>
        <v>965.99372135118165</v>
      </c>
      <c r="AN36" s="97">
        <f t="shared" ref="AN36:AN47" si="38">AE36-AD36</f>
        <v>837.07249720709888</v>
      </c>
      <c r="AO36" s="97">
        <f t="shared" ref="AO36:AO47" si="39">AF36</f>
        <v>20.637134521643553</v>
      </c>
      <c r="AP36" s="97"/>
      <c r="AQ36" s="97"/>
      <c r="AR36" s="97"/>
      <c r="AS36" s="107"/>
      <c r="AT36" s="64"/>
    </row>
    <row r="37" spans="2:46" s="58" customFormat="1" ht="15" customHeight="1" outlineLevel="1" x14ac:dyDescent="0.25">
      <c r="B37" s="192" t="s">
        <v>126</v>
      </c>
      <c r="C37" s="97" t="s">
        <v>17</v>
      </c>
      <c r="D37" s="97" t="s">
        <v>17</v>
      </c>
      <c r="E37" s="97" t="s">
        <v>17</v>
      </c>
      <c r="F37" s="97" t="s">
        <v>17</v>
      </c>
      <c r="G37" s="97" t="s">
        <v>17</v>
      </c>
      <c r="H37" s="97" t="s">
        <v>17</v>
      </c>
      <c r="I37" s="97" t="s">
        <v>17</v>
      </c>
      <c r="J37" s="97" t="s">
        <v>17</v>
      </c>
      <c r="K37" s="97" t="s">
        <v>17</v>
      </c>
      <c r="L37" s="97" t="s">
        <v>17</v>
      </c>
      <c r="M37" s="97" t="s">
        <v>17</v>
      </c>
      <c r="N37" s="97" t="s">
        <v>17</v>
      </c>
      <c r="O37" s="97" t="s">
        <v>17</v>
      </c>
      <c r="P37" s="97" t="s">
        <v>17</v>
      </c>
      <c r="Q37" s="97" t="s">
        <v>17</v>
      </c>
      <c r="R37" s="97" t="s">
        <v>17</v>
      </c>
      <c r="S37" s="97" t="s">
        <v>17</v>
      </c>
      <c r="T37" s="97">
        <v>848.42003220704055</v>
      </c>
      <c r="U37" s="97">
        <v>1006.2678681468019</v>
      </c>
      <c r="V37" s="97">
        <v>888.96008744100448</v>
      </c>
      <c r="W37" s="97">
        <v>1339.8933689812507</v>
      </c>
      <c r="X37" s="97">
        <v>1504.3400054951105</v>
      </c>
      <c r="Y37" s="97">
        <f t="shared" si="34"/>
        <v>1501.094967189782</v>
      </c>
      <c r="Z37" s="97"/>
      <c r="AA37" s="237"/>
      <c r="AB37" s="97">
        <v>380.87947690832868</v>
      </c>
      <c r="AC37" s="97">
        <v>725.77438257807</v>
      </c>
      <c r="AD37" s="97">
        <v>1115.1028732307227</v>
      </c>
      <c r="AE37" s="97">
        <v>1501.094967189782</v>
      </c>
      <c r="AF37" s="97">
        <v>473.862329663151</v>
      </c>
      <c r="AG37" s="97"/>
      <c r="AH37" s="97"/>
      <c r="AI37" s="97"/>
      <c r="AJ37" s="107"/>
      <c r="AK37" s="97">
        <f t="shared" si="35"/>
        <v>380.87947690832868</v>
      </c>
      <c r="AL37" s="97">
        <f t="shared" si="36"/>
        <v>344.89490566974132</v>
      </c>
      <c r="AM37" s="97">
        <f t="shared" si="37"/>
        <v>389.3284906526527</v>
      </c>
      <c r="AN37" s="97">
        <f t="shared" si="38"/>
        <v>385.99209395905928</v>
      </c>
      <c r="AO37" s="97">
        <f t="shared" si="39"/>
        <v>473.862329663151</v>
      </c>
      <c r="AP37" s="97"/>
      <c r="AQ37" s="97"/>
      <c r="AR37" s="97"/>
      <c r="AS37" s="107"/>
      <c r="AT37" s="64"/>
    </row>
    <row r="38" spans="2:46" s="58" customFormat="1" ht="15" customHeight="1" outlineLevel="1" x14ac:dyDescent="0.25">
      <c r="B38" s="192" t="s">
        <v>351</v>
      </c>
      <c r="C38" s="97" t="s">
        <v>17</v>
      </c>
      <c r="D38" s="97" t="s">
        <v>17</v>
      </c>
      <c r="E38" s="97" t="s">
        <v>17</v>
      </c>
      <c r="F38" s="97" t="s">
        <v>17</v>
      </c>
      <c r="G38" s="97" t="s">
        <v>17</v>
      </c>
      <c r="H38" s="97" t="s">
        <v>17</v>
      </c>
      <c r="I38" s="97" t="s">
        <v>17</v>
      </c>
      <c r="J38" s="97" t="s">
        <v>17</v>
      </c>
      <c r="K38" s="97" t="s">
        <v>17</v>
      </c>
      <c r="L38" s="97" t="s">
        <v>17</v>
      </c>
      <c r="M38" s="97" t="s">
        <v>17</v>
      </c>
      <c r="N38" s="97" t="s">
        <v>17</v>
      </c>
      <c r="O38" s="97" t="s">
        <v>17</v>
      </c>
      <c r="P38" s="97" t="s">
        <v>17</v>
      </c>
      <c r="Q38" s="97" t="s">
        <v>17</v>
      </c>
      <c r="R38" s="97" t="s">
        <v>17</v>
      </c>
      <c r="S38" s="97" t="s">
        <v>17</v>
      </c>
      <c r="T38" s="97">
        <v>-20.633486847800736</v>
      </c>
      <c r="U38" s="97">
        <v>-43.832134079746389</v>
      </c>
      <c r="V38" s="97">
        <v>-39.904102951265941</v>
      </c>
      <c r="W38" s="97">
        <v>-18.821866615786348</v>
      </c>
      <c r="X38" s="97">
        <v>-8.06660965960873</v>
      </c>
      <c r="Y38" s="97">
        <f t="shared" si="34"/>
        <v>-62.113506242144467</v>
      </c>
      <c r="Z38" s="97"/>
      <c r="AA38" s="237"/>
      <c r="AB38" s="97">
        <f>AB34-AB36-AB37</f>
        <v>-17.87159789371151</v>
      </c>
      <c r="AC38" s="97">
        <f>AC34-AC36-AC37</f>
        <v>-3.0154985588457066</v>
      </c>
      <c r="AD38" s="97">
        <f>AD34-AD36-AD37</f>
        <v>7.4310493691623378</v>
      </c>
      <c r="AE38" s="97">
        <f>AE34-AE36-AE37</f>
        <v>-62.113506242144467</v>
      </c>
      <c r="AF38" s="97">
        <f>AF34-AF36-AF37</f>
        <v>847.57513189335987</v>
      </c>
      <c r="AG38" s="97"/>
      <c r="AH38" s="97"/>
      <c r="AI38" s="97"/>
      <c r="AJ38" s="107"/>
      <c r="AK38" s="97">
        <f t="shared" si="35"/>
        <v>-17.87159789371151</v>
      </c>
      <c r="AL38" s="97">
        <f t="shared" si="36"/>
        <v>14.856099334865803</v>
      </c>
      <c r="AM38" s="97">
        <f t="shared" si="37"/>
        <v>10.446547928008044</v>
      </c>
      <c r="AN38" s="97">
        <f t="shared" si="38"/>
        <v>-69.544555611306805</v>
      </c>
      <c r="AO38" s="97">
        <f t="shared" si="39"/>
        <v>847.57513189335987</v>
      </c>
      <c r="AP38" s="97"/>
      <c r="AQ38" s="97"/>
      <c r="AR38" s="97"/>
      <c r="AS38" s="107"/>
      <c r="AT38" s="64"/>
    </row>
    <row r="39" spans="2:46" ht="15" customHeight="1" x14ac:dyDescent="0.25">
      <c r="B39" t="s">
        <v>74</v>
      </c>
      <c r="C39" s="237" t="s">
        <v>17</v>
      </c>
      <c r="D39" s="237" t="s">
        <v>17</v>
      </c>
      <c r="E39" s="237" t="s">
        <v>17</v>
      </c>
      <c r="F39" s="237" t="s">
        <v>17</v>
      </c>
      <c r="G39" s="237">
        <v>12.473952948954901</v>
      </c>
      <c r="H39" s="237">
        <v>94.5635916049863</v>
      </c>
      <c r="I39" s="237">
        <v>42.095423840364006</v>
      </c>
      <c r="J39" s="237">
        <v>32.070845804675102</v>
      </c>
      <c r="K39" s="237">
        <v>74.685195697285494</v>
      </c>
      <c r="L39" s="237">
        <v>103.578076092635</v>
      </c>
      <c r="M39" s="237">
        <v>0.692391124158941</v>
      </c>
      <c r="N39" s="237">
        <v>16.055443762018399</v>
      </c>
      <c r="O39" s="237">
        <v>54.537937961331998</v>
      </c>
      <c r="P39" s="237">
        <v>52.095035862261</v>
      </c>
      <c r="Q39" s="237">
        <v>16.055744439426999</v>
      </c>
      <c r="R39" s="237">
        <v>-15.075603228012</v>
      </c>
      <c r="S39" s="237">
        <v>-3.6272114922459999</v>
      </c>
      <c r="T39" s="237">
        <v>287.93776320562205</v>
      </c>
      <c r="U39" s="237">
        <v>101.529997150849</v>
      </c>
      <c r="V39" s="237">
        <v>112.09326412099999</v>
      </c>
      <c r="W39" s="237">
        <v>60.510281386000017</v>
      </c>
      <c r="X39" s="237">
        <v>14.538787679175996</v>
      </c>
      <c r="Y39" s="97">
        <f t="shared" si="34"/>
        <v>31.27192000737201</v>
      </c>
      <c r="Z39" s="97"/>
      <c r="AA39" s="237"/>
      <c r="AB39" s="237">
        <v>1.5207395204889098</v>
      </c>
      <c r="AC39" s="237">
        <v>20.976360660792</v>
      </c>
      <c r="AD39" s="237">
        <v>21.103595022061999</v>
      </c>
      <c r="AE39" s="237">
        <v>31.27192000737201</v>
      </c>
      <c r="AF39" s="237">
        <v>-2.0297041591790004</v>
      </c>
      <c r="AG39" s="237"/>
      <c r="AH39" s="237"/>
      <c r="AI39" s="237"/>
      <c r="AK39" s="237">
        <f t="shared" si="35"/>
        <v>1.5207395204889098</v>
      </c>
      <c r="AL39" s="237">
        <f t="shared" si="36"/>
        <v>19.455621140303091</v>
      </c>
      <c r="AM39" s="237">
        <f t="shared" si="37"/>
        <v>0.12723436126999843</v>
      </c>
      <c r="AN39" s="237">
        <f t="shared" si="38"/>
        <v>10.168324985310011</v>
      </c>
      <c r="AO39" s="237">
        <f t="shared" si="39"/>
        <v>-2.0297041591790004</v>
      </c>
      <c r="AP39" s="237"/>
      <c r="AQ39" s="237"/>
      <c r="AR39" s="237"/>
      <c r="AT39" s="64"/>
    </row>
    <row r="40" spans="2:46" ht="15" customHeight="1" outlineLevel="1" x14ac:dyDescent="0.25">
      <c r="B40" s="192" t="s">
        <v>306</v>
      </c>
      <c r="C40" s="97" t="s">
        <v>17</v>
      </c>
      <c r="D40" s="97" t="s">
        <v>17</v>
      </c>
      <c r="E40" s="97" t="s">
        <v>17</v>
      </c>
      <c r="F40" s="97" t="s">
        <v>17</v>
      </c>
      <c r="G40" s="97" t="s">
        <v>17</v>
      </c>
      <c r="H40" s="97" t="s">
        <v>17</v>
      </c>
      <c r="I40" s="97" t="s">
        <v>17</v>
      </c>
      <c r="J40" s="97" t="s">
        <v>17</v>
      </c>
      <c r="K40" s="97" t="s">
        <v>17</v>
      </c>
      <c r="L40" s="97" t="s">
        <v>17</v>
      </c>
      <c r="M40" s="97" t="s">
        <v>17</v>
      </c>
      <c r="N40" s="97" t="s">
        <v>17</v>
      </c>
      <c r="O40" s="97" t="s">
        <v>17</v>
      </c>
      <c r="P40" s="97" t="s">
        <v>17</v>
      </c>
      <c r="Q40" s="97" t="s">
        <v>17</v>
      </c>
      <c r="R40" s="97" t="s">
        <v>17</v>
      </c>
      <c r="S40" s="97" t="s">
        <v>17</v>
      </c>
      <c r="T40" s="97">
        <v>279.28758421124854</v>
      </c>
      <c r="U40" s="97">
        <v>87.820344176343397</v>
      </c>
      <c r="V40" s="97">
        <v>101.24540318760923</v>
      </c>
      <c r="W40" s="97">
        <v>51.348898860798002</v>
      </c>
      <c r="X40" s="97">
        <v>10.637679878179998</v>
      </c>
      <c r="Y40" s="97">
        <f t="shared" si="34"/>
        <v>18.237621295225999</v>
      </c>
      <c r="Z40" s="97"/>
      <c r="AA40" s="237"/>
      <c r="AB40" s="97">
        <v>-0.36664976801433669</v>
      </c>
      <c r="AC40" s="97">
        <v>16.037433402741001</v>
      </c>
      <c r="AD40" s="97">
        <v>17.604346992587999</v>
      </c>
      <c r="AE40" s="97">
        <v>18.237621295225999</v>
      </c>
      <c r="AF40" s="97">
        <v>7.0792522377863011E-7</v>
      </c>
      <c r="AG40" s="97"/>
      <c r="AH40" s="97"/>
      <c r="AI40" s="97"/>
      <c r="AK40" s="97">
        <f t="shared" si="35"/>
        <v>-0.36664976801433669</v>
      </c>
      <c r="AL40" s="97">
        <f t="shared" si="36"/>
        <v>16.404083170755339</v>
      </c>
      <c r="AM40" s="97">
        <f t="shared" si="37"/>
        <v>1.5669135898469975</v>
      </c>
      <c r="AN40" s="97">
        <f t="shared" si="38"/>
        <v>0.63327430263800011</v>
      </c>
      <c r="AO40" s="97">
        <f t="shared" si="39"/>
        <v>7.0792522377863011E-7</v>
      </c>
      <c r="AP40" s="97"/>
      <c r="AQ40" s="97"/>
      <c r="AR40" s="97"/>
      <c r="AT40" s="64"/>
    </row>
    <row r="41" spans="2:46" ht="15" customHeight="1" outlineLevel="1" x14ac:dyDescent="0.25">
      <c r="B41" s="192" t="s">
        <v>126</v>
      </c>
      <c r="C41" s="97" t="s">
        <v>17</v>
      </c>
      <c r="D41" s="97" t="s">
        <v>17</v>
      </c>
      <c r="E41" s="97" t="s">
        <v>17</v>
      </c>
      <c r="F41" s="97" t="s">
        <v>17</v>
      </c>
      <c r="G41" s="97" t="s">
        <v>17</v>
      </c>
      <c r="H41" s="97" t="s">
        <v>17</v>
      </c>
      <c r="I41" s="97" t="s">
        <v>17</v>
      </c>
      <c r="J41" s="97" t="s">
        <v>17</v>
      </c>
      <c r="K41" s="97" t="s">
        <v>17</v>
      </c>
      <c r="L41" s="97" t="s">
        <v>17</v>
      </c>
      <c r="M41" s="97" t="s">
        <v>17</v>
      </c>
      <c r="N41" s="97" t="s">
        <v>17</v>
      </c>
      <c r="O41" s="97" t="s">
        <v>17</v>
      </c>
      <c r="P41" s="97" t="s">
        <v>17</v>
      </c>
      <c r="Q41" s="97" t="s">
        <v>17</v>
      </c>
      <c r="R41" s="97" t="s">
        <v>17</v>
      </c>
      <c r="S41" s="97" t="s">
        <v>17</v>
      </c>
      <c r="T41" s="97">
        <v>13.835524923868849</v>
      </c>
      <c r="U41" s="97">
        <v>14.132029712546677</v>
      </c>
      <c r="V41" s="97">
        <v>10.715659612509928</v>
      </c>
      <c r="W41" s="97">
        <v>7.1450714008120002</v>
      </c>
      <c r="X41" s="97">
        <v>2.0381043640070002</v>
      </c>
      <c r="Y41" s="97">
        <f t="shared" si="34"/>
        <v>10.281367003059</v>
      </c>
      <c r="Z41" s="97"/>
      <c r="AA41" s="237"/>
      <c r="AB41" s="97">
        <v>2.0105783192211235</v>
      </c>
      <c r="AC41" s="97">
        <v>4.7555751241269997</v>
      </c>
      <c r="AD41" s="97">
        <v>3.4447581629180002</v>
      </c>
      <c r="AE41" s="97">
        <v>10.281367003059</v>
      </c>
      <c r="AF41" s="97">
        <v>-1.6299766048790001</v>
      </c>
      <c r="AG41" s="97"/>
      <c r="AH41" s="97"/>
      <c r="AI41" s="97"/>
      <c r="AK41" s="97">
        <f t="shared" si="35"/>
        <v>2.0105783192211235</v>
      </c>
      <c r="AL41" s="97">
        <f t="shared" si="36"/>
        <v>2.7449968049058762</v>
      </c>
      <c r="AM41" s="97">
        <f t="shared" si="37"/>
        <v>-1.3108169612089995</v>
      </c>
      <c r="AN41" s="97">
        <f t="shared" si="38"/>
        <v>6.8366088401409995</v>
      </c>
      <c r="AO41" s="97">
        <f t="shared" si="39"/>
        <v>-1.6299766048790001</v>
      </c>
      <c r="AP41" s="97"/>
      <c r="AQ41" s="97"/>
      <c r="AR41" s="97"/>
      <c r="AT41" s="64"/>
    </row>
    <row r="42" spans="2:46" ht="15" customHeight="1" outlineLevel="1" x14ac:dyDescent="0.25">
      <c r="B42" s="192" t="s">
        <v>351</v>
      </c>
      <c r="C42" s="97" t="s">
        <v>17</v>
      </c>
      <c r="D42" s="97" t="s">
        <v>17</v>
      </c>
      <c r="E42" s="97" t="s">
        <v>17</v>
      </c>
      <c r="F42" s="97" t="s">
        <v>17</v>
      </c>
      <c r="G42" s="97" t="s">
        <v>17</v>
      </c>
      <c r="H42" s="97" t="s">
        <v>17</v>
      </c>
      <c r="I42" s="97" t="s">
        <v>17</v>
      </c>
      <c r="J42" s="97" t="s">
        <v>17</v>
      </c>
      <c r="K42" s="97" t="s">
        <v>17</v>
      </c>
      <c r="L42" s="97" t="s">
        <v>17</v>
      </c>
      <c r="M42" s="97" t="s">
        <v>17</v>
      </c>
      <c r="N42" s="97" t="s">
        <v>17</v>
      </c>
      <c r="O42" s="97" t="s">
        <v>17</v>
      </c>
      <c r="P42" s="97" t="s">
        <v>17</v>
      </c>
      <c r="Q42" s="97" t="s">
        <v>17</v>
      </c>
      <c r="R42" s="97" t="s">
        <v>17</v>
      </c>
      <c r="S42" s="97" t="s">
        <v>17</v>
      </c>
      <c r="T42" s="97">
        <v>-5.1853459294953268</v>
      </c>
      <c r="U42" s="97">
        <v>-0.37138066999962405</v>
      </c>
      <c r="V42" s="97">
        <v>0.13220132088083858</v>
      </c>
      <c r="W42" s="97">
        <v>2.0163111243900147</v>
      </c>
      <c r="X42" s="97">
        <v>1.863003436988997</v>
      </c>
      <c r="Y42" s="97">
        <f t="shared" si="34"/>
        <v>2.7529317090870116</v>
      </c>
      <c r="Z42" s="97"/>
      <c r="AA42" s="237"/>
      <c r="AB42" s="97">
        <v>-0.12318903071787687</v>
      </c>
      <c r="AC42" s="97">
        <v>0.18335213392400007</v>
      </c>
      <c r="AD42" s="97">
        <v>5.4489866556000521E-2</v>
      </c>
      <c r="AE42" s="97">
        <v>2.7529317090870116</v>
      </c>
      <c r="AF42" s="97">
        <v>-0.14567864874300041</v>
      </c>
      <c r="AG42" s="97"/>
      <c r="AH42" s="97"/>
      <c r="AI42" s="97"/>
      <c r="AK42" s="97">
        <f t="shared" si="35"/>
        <v>-0.12318903071787687</v>
      </c>
      <c r="AL42" s="97">
        <f t="shared" si="36"/>
        <v>0.30654116464187697</v>
      </c>
      <c r="AM42" s="97">
        <f t="shared" si="37"/>
        <v>-0.12886226736799955</v>
      </c>
      <c r="AN42" s="97">
        <f t="shared" si="38"/>
        <v>2.698441842531011</v>
      </c>
      <c r="AO42" s="97">
        <f t="shared" si="39"/>
        <v>-0.14567864874300041</v>
      </c>
      <c r="AP42" s="97"/>
      <c r="AQ42" s="97"/>
      <c r="AR42" s="97"/>
      <c r="AT42" s="64"/>
    </row>
    <row r="43" spans="2:46" ht="15" customHeight="1" x14ac:dyDescent="0.25">
      <c r="B43" t="s">
        <v>234</v>
      </c>
      <c r="C43" s="237" t="s">
        <v>17</v>
      </c>
      <c r="D43" s="237" t="s">
        <v>17</v>
      </c>
      <c r="E43" s="237" t="s">
        <v>17</v>
      </c>
      <c r="F43" s="237" t="s">
        <v>17</v>
      </c>
      <c r="G43" s="237">
        <v>898.93883291668158</v>
      </c>
      <c r="H43" s="237">
        <v>957.84992582724931</v>
      </c>
      <c r="I43" s="237">
        <v>1025.8510184234199</v>
      </c>
      <c r="J43" s="237">
        <v>1192.8716301342199</v>
      </c>
      <c r="K43" s="237">
        <v>1318.6963100073501</v>
      </c>
      <c r="L43" s="237">
        <v>1446.722705455968</v>
      </c>
      <c r="M43" s="237">
        <v>1487.5057650083988</v>
      </c>
      <c r="N43" s="237">
        <v>1468.9880257712696</v>
      </c>
      <c r="O43" s="237">
        <v>1425.0470871871048</v>
      </c>
      <c r="P43" s="237">
        <v>1397.2373042806501</v>
      </c>
      <c r="Q43" s="237">
        <v>1464.5230408024722</v>
      </c>
      <c r="R43" s="237">
        <v>1510.3038328227062</v>
      </c>
      <c r="S43" s="237">
        <v>1675.658629819256</v>
      </c>
      <c r="T43" s="237">
        <v>1444.8116585815528</v>
      </c>
      <c r="U43" s="237">
        <v>1765.6192507622709</v>
      </c>
      <c r="V43" s="237">
        <v>1631.8314147700005</v>
      </c>
      <c r="W43" s="237">
        <v>1731.7544942229999</v>
      </c>
      <c r="X43" s="237">
        <v>1979.0068017217409</v>
      </c>
      <c r="Y43" s="462">
        <f t="shared" si="34"/>
        <v>2190.5833155842211</v>
      </c>
      <c r="Z43" s="462"/>
      <c r="AA43" s="237"/>
      <c r="AB43" s="237">
        <v>424.32877166554908</v>
      </c>
      <c r="AC43" s="237">
        <v>960.63770545981595</v>
      </c>
      <c r="AD43" s="237">
        <v>1388.2749467967096</v>
      </c>
      <c r="AE43" s="237">
        <v>2190.5833155842211</v>
      </c>
      <c r="AF43" s="237">
        <v>-426.76646524580883</v>
      </c>
      <c r="AG43" s="237"/>
      <c r="AH43" s="237"/>
      <c r="AI43" s="237"/>
      <c r="AK43" s="237">
        <f t="shared" si="35"/>
        <v>424.32877166554908</v>
      </c>
      <c r="AL43" s="237">
        <f t="shared" si="36"/>
        <v>536.30893379426686</v>
      </c>
      <c r="AM43" s="237">
        <f t="shared" si="37"/>
        <v>427.63724133689368</v>
      </c>
      <c r="AN43" s="237">
        <f t="shared" si="38"/>
        <v>802.30836878751143</v>
      </c>
      <c r="AO43" s="237">
        <f t="shared" si="39"/>
        <v>-426.76646524580883</v>
      </c>
      <c r="AP43" s="237"/>
      <c r="AQ43" s="237"/>
      <c r="AR43" s="237"/>
      <c r="AT43" s="64"/>
    </row>
    <row r="44" spans="2:46" s="58" customFormat="1" ht="15" customHeight="1" outlineLevel="1" x14ac:dyDescent="0.25">
      <c r="B44" s="192" t="s">
        <v>306</v>
      </c>
      <c r="C44" s="97" t="s">
        <v>17</v>
      </c>
      <c r="D44" s="97" t="s">
        <v>17</v>
      </c>
      <c r="E44" s="97" t="s">
        <v>17</v>
      </c>
      <c r="F44" s="97" t="s">
        <v>17</v>
      </c>
      <c r="G44" s="97" t="s">
        <v>17</v>
      </c>
      <c r="H44" s="97" t="s">
        <v>17</v>
      </c>
      <c r="I44" s="97" t="s">
        <v>17</v>
      </c>
      <c r="J44" s="97" t="s">
        <v>17</v>
      </c>
      <c r="K44" s="97" t="s">
        <v>17</v>
      </c>
      <c r="L44" s="97" t="s">
        <v>17</v>
      </c>
      <c r="M44" s="97" t="s">
        <v>17</v>
      </c>
      <c r="N44" s="97" t="s">
        <v>17</v>
      </c>
      <c r="O44" s="97" t="s">
        <v>17</v>
      </c>
      <c r="P44" s="97" t="s">
        <v>17</v>
      </c>
      <c r="Q44" s="97" t="s">
        <v>17</v>
      </c>
      <c r="R44" s="97" t="s">
        <v>17</v>
      </c>
      <c r="S44" s="97" t="s">
        <v>17</v>
      </c>
      <c r="T44" s="97">
        <v>1054.8775048256086</v>
      </c>
      <c r="U44" s="97">
        <v>1354.5546269605711</v>
      </c>
      <c r="V44" s="97">
        <v>1218.181839391561</v>
      </c>
      <c r="W44" s="97">
        <v>1211.6322325762058</v>
      </c>
      <c r="X44" s="97">
        <v>1419.3342342161159</v>
      </c>
      <c r="Y44" s="97">
        <f t="shared" si="34"/>
        <v>1598.1134970477626</v>
      </c>
      <c r="Z44" s="97"/>
      <c r="AA44" s="237"/>
      <c r="AB44" s="97">
        <v>279.89607554880945</v>
      </c>
      <c r="AC44" s="97">
        <v>669.94053802193605</v>
      </c>
      <c r="AD44" s="97">
        <v>946.27501145164422</v>
      </c>
      <c r="AE44" s="97">
        <v>1598.1134970477626</v>
      </c>
      <c r="AF44" s="97">
        <v>-276.43479302726104</v>
      </c>
      <c r="AG44" s="97"/>
      <c r="AH44" s="97"/>
      <c r="AI44" s="97"/>
      <c r="AJ44" s="107"/>
      <c r="AK44" s="97">
        <f t="shared" si="35"/>
        <v>279.89607554880945</v>
      </c>
      <c r="AL44" s="97">
        <f t="shared" si="36"/>
        <v>390.0444624731266</v>
      </c>
      <c r="AM44" s="97">
        <f t="shared" si="37"/>
        <v>276.33447342970817</v>
      </c>
      <c r="AN44" s="97">
        <f t="shared" si="38"/>
        <v>651.8384855961184</v>
      </c>
      <c r="AO44" s="97">
        <f t="shared" si="39"/>
        <v>-276.43479302726104</v>
      </c>
      <c r="AP44" s="97"/>
      <c r="AQ44" s="97"/>
      <c r="AR44" s="97"/>
      <c r="AS44" s="107"/>
      <c r="AT44" s="64"/>
    </row>
    <row r="45" spans="2:46" s="58" customFormat="1" ht="15" customHeight="1" outlineLevel="1" x14ac:dyDescent="0.25">
      <c r="B45" s="192" t="s">
        <v>126</v>
      </c>
      <c r="C45" s="97" t="s">
        <v>17</v>
      </c>
      <c r="D45" s="97" t="s">
        <v>17</v>
      </c>
      <c r="E45" s="97" t="s">
        <v>17</v>
      </c>
      <c r="F45" s="97" t="s">
        <v>17</v>
      </c>
      <c r="G45" s="97" t="s">
        <v>17</v>
      </c>
      <c r="H45" s="97" t="s">
        <v>17</v>
      </c>
      <c r="I45" s="97" t="s">
        <v>17</v>
      </c>
      <c r="J45" s="97" t="s">
        <v>17</v>
      </c>
      <c r="K45" s="97" t="s">
        <v>17</v>
      </c>
      <c r="L45" s="97" t="s">
        <v>17</v>
      </c>
      <c r="M45" s="97" t="s">
        <v>17</v>
      </c>
      <c r="N45" s="97" t="s">
        <v>17</v>
      </c>
      <c r="O45" s="97" t="s">
        <v>17</v>
      </c>
      <c r="P45" s="97" t="s">
        <v>17</v>
      </c>
      <c r="Q45" s="97" t="s">
        <v>17</v>
      </c>
      <c r="R45" s="97" t="s">
        <v>17</v>
      </c>
      <c r="S45" s="97" t="s">
        <v>17</v>
      </c>
      <c r="T45" s="97">
        <v>334.37207432978488</v>
      </c>
      <c r="U45" s="97">
        <v>356.18400647268095</v>
      </c>
      <c r="V45" s="97">
        <v>373.31342338594527</v>
      </c>
      <c r="W45" s="97">
        <v>483.824391636016</v>
      </c>
      <c r="X45" s="97">
        <v>519.27049947682008</v>
      </c>
      <c r="Y45" s="97">
        <f t="shared" si="34"/>
        <v>547.48622124290398</v>
      </c>
      <c r="Z45" s="97"/>
      <c r="AA45" s="237"/>
      <c r="AB45" s="97">
        <v>132.36633637303461</v>
      </c>
      <c r="AC45" s="97">
        <v>268.603051072288</v>
      </c>
      <c r="AD45" s="97">
        <v>407.29566255986907</v>
      </c>
      <c r="AE45" s="97">
        <v>547.48622124290398</v>
      </c>
      <c r="AF45" s="97">
        <v>-137.13508168137602</v>
      </c>
      <c r="AG45" s="97"/>
      <c r="AH45" s="97"/>
      <c r="AI45" s="97"/>
      <c r="AJ45" s="107"/>
      <c r="AK45" s="97">
        <f t="shared" si="35"/>
        <v>132.36633637303461</v>
      </c>
      <c r="AL45" s="97">
        <f t="shared" si="36"/>
        <v>136.23671469925338</v>
      </c>
      <c r="AM45" s="97">
        <f t="shared" si="37"/>
        <v>138.69261148758108</v>
      </c>
      <c r="AN45" s="97">
        <f t="shared" si="38"/>
        <v>140.19055868303491</v>
      </c>
      <c r="AO45" s="97">
        <f t="shared" si="39"/>
        <v>-137.13508168137602</v>
      </c>
      <c r="AP45" s="97"/>
      <c r="AQ45" s="97"/>
      <c r="AR45" s="97"/>
      <c r="AS45" s="107"/>
      <c r="AT45" s="64"/>
    </row>
    <row r="46" spans="2:46" s="58" customFormat="1" ht="15" customHeight="1" outlineLevel="1" x14ac:dyDescent="0.25">
      <c r="B46" s="192" t="s">
        <v>351</v>
      </c>
      <c r="C46" s="97" t="s">
        <v>17</v>
      </c>
      <c r="D46" s="97" t="s">
        <v>17</v>
      </c>
      <c r="E46" s="97" t="s">
        <v>17</v>
      </c>
      <c r="F46" s="97" t="s">
        <v>17</v>
      </c>
      <c r="G46" s="97" t="s">
        <v>17</v>
      </c>
      <c r="H46" s="97" t="s">
        <v>17</v>
      </c>
      <c r="I46" s="97" t="s">
        <v>17</v>
      </c>
      <c r="J46" s="97" t="s">
        <v>17</v>
      </c>
      <c r="K46" s="97" t="s">
        <v>17</v>
      </c>
      <c r="L46" s="97" t="s">
        <v>17</v>
      </c>
      <c r="M46" s="97" t="s">
        <v>17</v>
      </c>
      <c r="N46" s="97" t="s">
        <v>17</v>
      </c>
      <c r="O46" s="97" t="s">
        <v>17</v>
      </c>
      <c r="P46" s="97" t="s">
        <v>17</v>
      </c>
      <c r="Q46" s="97" t="s">
        <v>17</v>
      </c>
      <c r="R46" s="97" t="s">
        <v>17</v>
      </c>
      <c r="S46" s="97" t="s">
        <v>17</v>
      </c>
      <c r="T46" s="97">
        <v>55.562079426159244</v>
      </c>
      <c r="U46" s="97">
        <v>54.880617329018605</v>
      </c>
      <c r="V46" s="97">
        <v>40.336151992494251</v>
      </c>
      <c r="W46" s="97">
        <v>36.29787001077807</v>
      </c>
      <c r="X46" s="97">
        <v>40.402068028804933</v>
      </c>
      <c r="Y46" s="97">
        <f t="shared" si="34"/>
        <v>44.98359729355434</v>
      </c>
      <c r="Z46" s="97"/>
      <c r="AA46" s="237"/>
      <c r="AB46" s="97">
        <v>12.066359743705114</v>
      </c>
      <c r="AC46" s="97">
        <v>22.094116365591958</v>
      </c>
      <c r="AD46" s="97">
        <v>34.704272785196281</v>
      </c>
      <c r="AE46" s="97">
        <v>44.98359729355434</v>
      </c>
      <c r="AF46" s="97">
        <v>-13.196590537171801</v>
      </c>
      <c r="AG46" s="97"/>
      <c r="AH46" s="97"/>
      <c r="AI46" s="97"/>
      <c r="AJ46" s="107"/>
      <c r="AK46" s="97">
        <f t="shared" si="35"/>
        <v>12.066359743705114</v>
      </c>
      <c r="AL46" s="97">
        <f t="shared" si="36"/>
        <v>10.027756621886844</v>
      </c>
      <c r="AM46" s="97">
        <f t="shared" si="37"/>
        <v>12.610156419604323</v>
      </c>
      <c r="AN46" s="97">
        <f t="shared" si="38"/>
        <v>10.279324508358059</v>
      </c>
      <c r="AO46" s="97">
        <f t="shared" si="39"/>
        <v>-13.196590537171801</v>
      </c>
      <c r="AP46" s="97"/>
      <c r="AQ46" s="97"/>
      <c r="AR46" s="97"/>
      <c r="AS46" s="107"/>
      <c r="AT46" s="64"/>
    </row>
    <row r="47" spans="2:46" ht="15" customHeight="1" x14ac:dyDescent="0.25">
      <c r="B47" s="6" t="s">
        <v>77</v>
      </c>
      <c r="C47" s="244" t="s">
        <v>17</v>
      </c>
      <c r="D47" s="244" t="s">
        <v>17</v>
      </c>
      <c r="E47" s="244" t="s">
        <v>17</v>
      </c>
      <c r="F47" s="244" t="s">
        <v>17</v>
      </c>
      <c r="G47" s="244">
        <v>1136.1262478158515</v>
      </c>
      <c r="H47" s="244">
        <v>1253.0361233744427</v>
      </c>
      <c r="I47" s="244">
        <v>1560.3277700000001</v>
      </c>
      <c r="J47" s="244">
        <v>1930.8716939999999</v>
      </c>
      <c r="K47" s="244">
        <v>1969.5669290000001</v>
      </c>
      <c r="L47" s="244">
        <v>2062.5090270000001</v>
      </c>
      <c r="M47" s="244">
        <v>2267.3895109999999</v>
      </c>
      <c r="N47" s="244">
        <v>2143.4140670000002</v>
      </c>
      <c r="O47" s="244">
        <v>2118.4253330000001</v>
      </c>
      <c r="P47" s="244">
        <v>2193.0603577643233</v>
      </c>
      <c r="Q47" s="244">
        <v>2443.3795270479704</v>
      </c>
      <c r="R47" s="244">
        <v>2264.0792256096447</v>
      </c>
      <c r="S47" s="244">
        <v>2317.9168228070548</v>
      </c>
      <c r="T47" s="244">
        <v>1584.3799107424577</v>
      </c>
      <c r="U47" s="244">
        <v>1863.4784104474095</v>
      </c>
      <c r="V47" s="244">
        <v>2206.0379056000002</v>
      </c>
      <c r="W47" s="244">
        <v>1930.7852570579867</v>
      </c>
      <c r="X47" s="244">
        <v>2529.9932831997976</v>
      </c>
      <c r="Y47" s="463">
        <f t="shared" si="34"/>
        <v>2798.1702846671101</v>
      </c>
      <c r="Z47" s="463"/>
      <c r="AA47" s="237"/>
      <c r="AB47" s="244">
        <v>989.62631087725697</v>
      </c>
      <c r="AC47" s="244">
        <v>1472.592772336491</v>
      </c>
      <c r="AD47" s="244">
        <v>2410.5970565701682</v>
      </c>
      <c r="AE47" s="244">
        <v>2798.1702846671101</v>
      </c>
      <c r="AF47" s="244">
        <v>911.93276940316605</v>
      </c>
      <c r="AG47" s="244"/>
      <c r="AH47" s="244"/>
      <c r="AI47" s="244"/>
      <c r="AK47" s="244">
        <f t="shared" si="35"/>
        <v>989.62631087725697</v>
      </c>
      <c r="AL47" s="244">
        <f t="shared" si="36"/>
        <v>482.96646145923398</v>
      </c>
      <c r="AM47" s="244">
        <f t="shared" si="37"/>
        <v>938.00428423367725</v>
      </c>
      <c r="AN47" s="244">
        <f t="shared" si="38"/>
        <v>387.57322809694188</v>
      </c>
      <c r="AO47" s="244">
        <f t="shared" si="39"/>
        <v>911.93276940316605</v>
      </c>
      <c r="AP47" s="244"/>
      <c r="AQ47" s="244"/>
      <c r="AR47" s="244"/>
      <c r="AT47" s="64"/>
    </row>
    <row r="48" spans="2:46" s="203" customFormat="1" ht="15" customHeight="1" x14ac:dyDescent="0.25">
      <c r="B48" s="510" t="s">
        <v>18</v>
      </c>
      <c r="C48" s="511" t="str">
        <f t="shared" ref="C48:P48" si="40">IFERROR(C47/B47-1,"-")</f>
        <v>-</v>
      </c>
      <c r="D48" s="511" t="str">
        <f t="shared" si="40"/>
        <v>-</v>
      </c>
      <c r="E48" s="511" t="str">
        <f t="shared" si="40"/>
        <v>-</v>
      </c>
      <c r="F48" s="511" t="str">
        <f t="shared" si="40"/>
        <v>-</v>
      </c>
      <c r="G48" s="511" t="str">
        <f t="shared" si="40"/>
        <v>-</v>
      </c>
      <c r="H48" s="511">
        <f t="shared" si="40"/>
        <v>0.10290218695619857</v>
      </c>
      <c r="I48" s="511">
        <f t="shared" si="40"/>
        <v>0.2452376598673125</v>
      </c>
      <c r="J48" s="511">
        <f t="shared" si="40"/>
        <v>0.23747826009659478</v>
      </c>
      <c r="K48" s="511">
        <f t="shared" si="40"/>
        <v>2.0040293262489683E-2</v>
      </c>
      <c r="L48" s="511">
        <f t="shared" si="40"/>
        <v>4.7189103671226418E-2</v>
      </c>
      <c r="M48" s="511">
        <f t="shared" si="40"/>
        <v>9.9335557477780556E-2</v>
      </c>
      <c r="N48" s="511">
        <f t="shared" si="40"/>
        <v>-5.4677612028522615E-2</v>
      </c>
      <c r="O48" s="511">
        <f t="shared" si="40"/>
        <v>-1.1658379211336944E-2</v>
      </c>
      <c r="P48" s="511">
        <f t="shared" si="40"/>
        <v>3.5231369074797181E-2</v>
      </c>
      <c r="Q48" s="511">
        <f t="shared" ref="Q48" si="41">IFERROR(Q47/P47-1,"-")</f>
        <v>0.11414148652927669</v>
      </c>
      <c r="R48" s="511">
        <f t="shared" ref="R48" si="42">IFERROR(R47/Q47-1,"-")</f>
        <v>-7.3382092079224304E-2</v>
      </c>
      <c r="S48" s="511">
        <f t="shared" ref="S48" si="43">IFERROR(S47/R47-1,"-")</f>
        <v>2.3779025304608403E-2</v>
      </c>
      <c r="T48" s="511">
        <f t="shared" ref="T48" si="44">IFERROR(T47/S47-1,"-")</f>
        <v>-0.31646386308904118</v>
      </c>
      <c r="U48" s="511">
        <f t="shared" ref="U48" si="45">IFERROR(U47/T47-1,"-")</f>
        <v>0.17615629800188715</v>
      </c>
      <c r="V48" s="511">
        <f t="shared" ref="V48" si="46">IFERROR(V47/U47-1,"-")</f>
        <v>0.18382799244255499</v>
      </c>
      <c r="W48" s="245">
        <f>IFERROR(W47/V47-1,"-")</f>
        <v>-0.12477240207128271</v>
      </c>
      <c r="X48" s="245">
        <f>IFERROR(X47/W47-1,"-")</f>
        <v>0.31034421044567528</v>
      </c>
      <c r="Y48" s="245">
        <f>IFERROR(Y47/X47-1,"-")</f>
        <v>0.10599909622215953</v>
      </c>
      <c r="Z48" s="245"/>
      <c r="AA48" s="404"/>
      <c r="AB48" s="245" t="str">
        <f>IFERROR(AB47/#REF!-1,"-")</f>
        <v>-</v>
      </c>
      <c r="AC48" s="245" t="str">
        <f>IFERROR(AC47/#REF!-1,"-")</f>
        <v>-</v>
      </c>
      <c r="AD48" s="245" t="str">
        <f>IFERROR(AD47/#REF!-1,"-")</f>
        <v>-</v>
      </c>
      <c r="AE48" s="245" t="str">
        <f>IFERROR(AE47/#REF!-1,"-")</f>
        <v>-</v>
      </c>
      <c r="AF48" s="245">
        <f>IFERROR(AF47/AB47-1,"-")</f>
        <v>-7.8507958630585795E-2</v>
      </c>
      <c r="AG48" s="245"/>
      <c r="AH48" s="245"/>
      <c r="AI48" s="245"/>
      <c r="AJ48" s="513"/>
      <c r="AK48" s="245" t="str">
        <f>IFERROR(AK47/#REF!-1,"-")</f>
        <v>-</v>
      </c>
      <c r="AL48" s="245" t="str">
        <f>IFERROR(AL47/#REF!-1,"-")</f>
        <v>-</v>
      </c>
      <c r="AM48" s="245" t="str">
        <f>IFERROR(AM47/#REF!-1,"-")</f>
        <v>-</v>
      </c>
      <c r="AN48" s="245" t="str">
        <f>IFERROR(AN47/#REF!-1,"-")</f>
        <v>-</v>
      </c>
      <c r="AO48" s="245">
        <f>IFERROR(AO47/AK47-1,"-")</f>
        <v>-7.8507958630585795E-2</v>
      </c>
      <c r="AP48" s="245"/>
      <c r="AQ48" s="245"/>
      <c r="AR48" s="245"/>
      <c r="AS48" s="513"/>
    </row>
    <row r="49" spans="2:46" ht="15" customHeight="1" outlineLevel="1" x14ac:dyDescent="0.25">
      <c r="B49" s="192" t="s">
        <v>306</v>
      </c>
      <c r="C49" s="97" t="s">
        <v>17</v>
      </c>
      <c r="D49" s="97" t="s">
        <v>17</v>
      </c>
      <c r="E49" s="97" t="s">
        <v>17</v>
      </c>
      <c r="F49" s="97" t="s">
        <v>17</v>
      </c>
      <c r="G49" s="97" t="s">
        <v>17</v>
      </c>
      <c r="H49" s="97" t="s">
        <v>17</v>
      </c>
      <c r="I49" s="97" t="s">
        <v>17</v>
      </c>
      <c r="J49" s="97" t="s">
        <v>17</v>
      </c>
      <c r="K49" s="97" t="s">
        <v>17</v>
      </c>
      <c r="L49" s="97" t="s">
        <v>17</v>
      </c>
      <c r="M49" s="97" t="s">
        <v>17</v>
      </c>
      <c r="N49" s="97" t="s">
        <v>17</v>
      </c>
      <c r="O49" s="97" t="s">
        <v>17</v>
      </c>
      <c r="P49" s="97" t="s">
        <v>17</v>
      </c>
      <c r="Q49" s="97" t="s">
        <v>17</v>
      </c>
      <c r="R49" s="97" t="s">
        <v>17</v>
      </c>
      <c r="S49" s="97" t="s">
        <v>17</v>
      </c>
      <c r="T49" s="97">
        <v>1174.726766701204</v>
      </c>
      <c r="U49" s="97">
        <v>1334.6058080377311</v>
      </c>
      <c r="V49" s="97">
        <v>1769.5650771570847</v>
      </c>
      <c r="W49" s="97">
        <v>1153.1081145445141</v>
      </c>
      <c r="X49" s="97">
        <v>1583.6458439309158</v>
      </c>
      <c r="Y49" s="97">
        <f t="shared" ref="Y49:Y58" si="47">AE49</f>
        <v>1935.4710306782727</v>
      </c>
      <c r="Z49" s="97"/>
      <c r="AA49" s="237"/>
      <c r="AB49" s="97">
        <v>772.9385172678825</v>
      </c>
      <c r="AC49" s="97">
        <v>1045.4699830132015</v>
      </c>
      <c r="AD49" s="97">
        <v>1733.562317344825</v>
      </c>
      <c r="AE49" s="97">
        <v>1935.4710306782727</v>
      </c>
      <c r="AF49" s="97">
        <v>588.33034970051892</v>
      </c>
      <c r="AG49" s="97"/>
      <c r="AH49" s="97"/>
      <c r="AI49" s="97"/>
      <c r="AK49" s="97">
        <f t="shared" ref="AK49:AK58" si="48">AB49</f>
        <v>772.9385172678825</v>
      </c>
      <c r="AL49" s="97">
        <f t="shared" ref="AL49:AL58" si="49">AC49-AB49</f>
        <v>272.531465745319</v>
      </c>
      <c r="AM49" s="97">
        <f t="shared" ref="AM49:AM58" si="50">AD49-AC49</f>
        <v>688.09233433162353</v>
      </c>
      <c r="AN49" s="97">
        <f t="shared" ref="AN49:AN58" si="51">AE49-AD49</f>
        <v>201.90871333344762</v>
      </c>
      <c r="AO49" s="97">
        <f t="shared" ref="AO49:AO58" si="52">AF49</f>
        <v>588.33034970051892</v>
      </c>
      <c r="AP49" s="97"/>
      <c r="AQ49" s="97"/>
      <c r="AR49" s="97"/>
      <c r="AT49" s="64"/>
    </row>
    <row r="50" spans="2:46" ht="15" customHeight="1" outlineLevel="1" x14ac:dyDescent="0.25">
      <c r="B50" s="192" t="s">
        <v>126</v>
      </c>
      <c r="C50" s="97" t="s">
        <v>17</v>
      </c>
      <c r="D50" s="97" t="s">
        <v>17</v>
      </c>
      <c r="E50" s="97" t="s">
        <v>17</v>
      </c>
      <c r="F50" s="97" t="s">
        <v>17</v>
      </c>
      <c r="G50" s="97" t="s">
        <v>17</v>
      </c>
      <c r="H50" s="97" t="s">
        <v>17</v>
      </c>
      <c r="I50" s="97" t="s">
        <v>17</v>
      </c>
      <c r="J50" s="97" t="s">
        <v>17</v>
      </c>
      <c r="K50" s="97" t="s">
        <v>17</v>
      </c>
      <c r="L50" s="97" t="s">
        <v>17</v>
      </c>
      <c r="M50" s="97" t="s">
        <v>17</v>
      </c>
      <c r="N50" s="97" t="s">
        <v>17</v>
      </c>
      <c r="O50" s="97" t="s">
        <v>17</v>
      </c>
      <c r="P50" s="97" t="s">
        <v>17</v>
      </c>
      <c r="Q50" s="97" t="s">
        <v>17</v>
      </c>
      <c r="R50" s="97" t="s">
        <v>17</v>
      </c>
      <c r="S50" s="97" t="s">
        <v>17</v>
      </c>
      <c r="T50" s="97">
        <v>482.84081513288481</v>
      </c>
      <c r="U50" s="97">
        <v>626.65197314845329</v>
      </c>
      <c r="V50" s="97">
        <v>523.47289861604702</v>
      </c>
      <c r="W50" s="97">
        <v>836.14843194442358</v>
      </c>
      <c r="X50" s="97">
        <v>984.39070817428308</v>
      </c>
      <c r="Y50" s="97">
        <f t="shared" si="47"/>
        <v>942.85837894381882</v>
      </c>
      <c r="Z50" s="97"/>
      <c r="AA50" s="237"/>
      <c r="AB50" s="97">
        <v>246.50256221607302</v>
      </c>
      <c r="AC50" s="97">
        <v>452.41575638165472</v>
      </c>
      <c r="AD50" s="97">
        <v>704.36245250793525</v>
      </c>
      <c r="AE50" s="97">
        <v>942.85837894381882</v>
      </c>
      <c r="AF50" s="97">
        <v>334.4741289268959</v>
      </c>
      <c r="AG50" s="97"/>
      <c r="AH50" s="97"/>
      <c r="AI50" s="97"/>
      <c r="AK50" s="97">
        <f t="shared" si="48"/>
        <v>246.50256221607302</v>
      </c>
      <c r="AL50" s="97">
        <f t="shared" si="49"/>
        <v>205.9131941655817</v>
      </c>
      <c r="AM50" s="97">
        <f t="shared" si="50"/>
        <v>251.94669612628053</v>
      </c>
      <c r="AN50" s="97">
        <f t="shared" si="51"/>
        <v>238.49592643588358</v>
      </c>
      <c r="AO50" s="97">
        <f t="shared" si="52"/>
        <v>334.4741289268959</v>
      </c>
      <c r="AP50" s="97"/>
      <c r="AQ50" s="97"/>
      <c r="AR50" s="97"/>
      <c r="AT50" s="64"/>
    </row>
    <row r="51" spans="2:46" ht="15" customHeight="1" outlineLevel="1" x14ac:dyDescent="0.25">
      <c r="B51" s="192" t="s">
        <v>351</v>
      </c>
      <c r="C51" s="97" t="s">
        <v>17</v>
      </c>
      <c r="D51" s="97" t="s">
        <v>17</v>
      </c>
      <c r="E51" s="97" t="s">
        <v>17</v>
      </c>
      <c r="F51" s="97" t="s">
        <v>17</v>
      </c>
      <c r="G51" s="97" t="s">
        <v>17</v>
      </c>
      <c r="H51" s="97" t="s">
        <v>17</v>
      </c>
      <c r="I51" s="97" t="s">
        <v>17</v>
      </c>
      <c r="J51" s="97" t="s">
        <v>17</v>
      </c>
      <c r="K51" s="97" t="s">
        <v>17</v>
      </c>
      <c r="L51" s="97" t="s">
        <v>17</v>
      </c>
      <c r="M51" s="97" t="s">
        <v>17</v>
      </c>
      <c r="N51" s="97" t="s">
        <v>17</v>
      </c>
      <c r="O51" s="97" t="s">
        <v>17</v>
      </c>
      <c r="P51" s="97" t="s">
        <v>17</v>
      </c>
      <c r="Q51" s="97" t="s">
        <v>17</v>
      </c>
      <c r="R51" s="97" t="s">
        <v>17</v>
      </c>
      <c r="S51" s="97" t="s">
        <v>17</v>
      </c>
      <c r="T51" s="97">
        <v>-73.187671091631273</v>
      </c>
      <c r="U51" s="97">
        <v>-97.779370738775015</v>
      </c>
      <c r="V51" s="97">
        <v>-87.000070173131462</v>
      </c>
      <c r="W51" s="97">
        <v>-58.471289430951174</v>
      </c>
      <c r="X51" s="97">
        <v>-38.043268905400964</v>
      </c>
      <c r="Y51" s="97">
        <f t="shared" si="47"/>
        <v>-80.159124954981507</v>
      </c>
      <c r="Z51" s="97"/>
      <c r="AA51" s="237"/>
      <c r="AB51" s="97">
        <v>-29.814768606697882</v>
      </c>
      <c r="AC51" s="97">
        <v>-25.292967058365321</v>
      </c>
      <c r="AD51" s="97">
        <v>-27.327713282591958</v>
      </c>
      <c r="AE51" s="97">
        <v>-80.159124954981507</v>
      </c>
      <c r="AF51" s="97">
        <v>-10.871709224248775</v>
      </c>
      <c r="AG51" s="97"/>
      <c r="AH51" s="97"/>
      <c r="AI51" s="97"/>
      <c r="AK51" s="97">
        <f t="shared" si="48"/>
        <v>-29.814768606697882</v>
      </c>
      <c r="AL51" s="97">
        <f t="shared" si="49"/>
        <v>4.5218015483325615</v>
      </c>
      <c r="AM51" s="97">
        <f t="shared" si="50"/>
        <v>-2.0347462242266374</v>
      </c>
      <c r="AN51" s="97">
        <f t="shared" si="51"/>
        <v>-52.831411672389549</v>
      </c>
      <c r="AO51" s="97">
        <f t="shared" si="52"/>
        <v>-10.871709224248775</v>
      </c>
      <c r="AP51" s="97"/>
      <c r="AQ51" s="97"/>
      <c r="AR51" s="97"/>
      <c r="AT51" s="64"/>
    </row>
    <row r="52" spans="2:46" ht="15" customHeight="1" x14ac:dyDescent="0.25">
      <c r="B52" t="s">
        <v>0</v>
      </c>
      <c r="C52" s="237" t="s">
        <v>17</v>
      </c>
      <c r="D52" s="237" t="s">
        <v>17</v>
      </c>
      <c r="E52" s="237" t="s">
        <v>17</v>
      </c>
      <c r="F52" s="237" t="s">
        <v>17</v>
      </c>
      <c r="G52" s="237">
        <v>128.02408260786601</v>
      </c>
      <c r="H52" s="237">
        <v>42.770264071334708</v>
      </c>
      <c r="I52" s="237">
        <v>-259.54895499999998</v>
      </c>
      <c r="J52" s="237">
        <v>-426.28172999999998</v>
      </c>
      <c r="K52" s="237">
        <v>-401.85424599999999</v>
      </c>
      <c r="L52" s="237">
        <v>-400.67622</v>
      </c>
      <c r="M52" s="237">
        <v>-675.03240400000004</v>
      </c>
      <c r="N52" s="237">
        <v>-678.72207800000001</v>
      </c>
      <c r="O52" s="237">
        <v>-712.49223400000005</v>
      </c>
      <c r="P52" s="237">
        <v>-556.80280225901947</v>
      </c>
      <c r="Q52" s="237">
        <v>-856.41452705411791</v>
      </c>
      <c r="R52" s="237">
        <v>-891.47996332905257</v>
      </c>
      <c r="S52" s="237">
        <v>-808.45299268659721</v>
      </c>
      <c r="T52" s="237">
        <v>-554.14394416550522</v>
      </c>
      <c r="U52" s="237">
        <v>-669.77303675332587</v>
      </c>
      <c r="V52" s="237">
        <v>-670.62426921400049</v>
      </c>
      <c r="W52" s="237">
        <v>-510.93314838100008</v>
      </c>
      <c r="X52" s="237">
        <v>-910.22067166405327</v>
      </c>
      <c r="Y52" s="462">
        <f t="shared" si="47"/>
        <v>-910.19656798093865</v>
      </c>
      <c r="Z52" s="462"/>
      <c r="AA52" s="237"/>
      <c r="AB52" s="237">
        <v>-259.80921345816796</v>
      </c>
      <c r="AC52" s="237">
        <v>-416.09521608414644</v>
      </c>
      <c r="AD52" s="237">
        <v>-635.06512650837158</v>
      </c>
      <c r="AE52" s="237">
        <v>-910.19656798093865</v>
      </c>
      <c r="AF52" s="237">
        <v>-235.65826973811488</v>
      </c>
      <c r="AG52" s="237"/>
      <c r="AH52" s="237"/>
      <c r="AI52" s="237"/>
      <c r="AK52" s="237">
        <f t="shared" si="48"/>
        <v>-259.80921345816796</v>
      </c>
      <c r="AL52" s="237">
        <f t="shared" si="49"/>
        <v>-156.28600262597848</v>
      </c>
      <c r="AM52" s="237">
        <f t="shared" si="50"/>
        <v>-218.96991042422513</v>
      </c>
      <c r="AN52" s="237">
        <f t="shared" si="51"/>
        <v>-275.13144147256708</v>
      </c>
      <c r="AO52" s="237">
        <f t="shared" si="52"/>
        <v>-235.65826973811488</v>
      </c>
      <c r="AP52" s="237"/>
      <c r="AQ52" s="237"/>
      <c r="AR52" s="237"/>
      <c r="AT52" s="64"/>
    </row>
    <row r="53" spans="2:46" ht="15" customHeight="1" outlineLevel="1" x14ac:dyDescent="0.25">
      <c r="B53" s="192" t="s">
        <v>353</v>
      </c>
      <c r="C53" s="97" t="s">
        <v>17</v>
      </c>
      <c r="D53" s="97" t="s">
        <v>17</v>
      </c>
      <c r="E53" s="97" t="s">
        <v>17</v>
      </c>
      <c r="F53" s="97" t="s">
        <v>17</v>
      </c>
      <c r="G53" s="97" t="s">
        <v>17</v>
      </c>
      <c r="H53" s="97" t="s">
        <v>17</v>
      </c>
      <c r="I53" s="97" t="s">
        <v>17</v>
      </c>
      <c r="J53" s="97" t="s">
        <v>17</v>
      </c>
      <c r="K53" s="97" t="s">
        <v>17</v>
      </c>
      <c r="L53" s="97" t="s">
        <v>17</v>
      </c>
      <c r="M53" s="97" t="s">
        <v>17</v>
      </c>
      <c r="N53" s="97" t="s">
        <v>17</v>
      </c>
      <c r="O53" s="97" t="s">
        <v>17</v>
      </c>
      <c r="P53" s="97" t="s">
        <v>17</v>
      </c>
      <c r="Q53" s="97" t="s">
        <v>17</v>
      </c>
      <c r="R53" s="97">
        <v>-812.5617166314438</v>
      </c>
      <c r="S53" s="97">
        <v>-690.78344091734209</v>
      </c>
      <c r="T53" s="97">
        <v>-625.59416378823516</v>
      </c>
      <c r="U53" s="97">
        <v>-597.29191753923499</v>
      </c>
      <c r="V53" s="97">
        <v>-563.37120673799984</v>
      </c>
      <c r="W53" s="97">
        <v>-548.58455896999988</v>
      </c>
      <c r="X53" s="97">
        <v>-726.28765430962108</v>
      </c>
      <c r="Y53" s="97">
        <f t="shared" si="47"/>
        <v>-846.49162818916841</v>
      </c>
      <c r="Z53" s="97"/>
      <c r="AA53" s="237"/>
      <c r="AB53" s="97">
        <v>-217.6344299153439</v>
      </c>
      <c r="AC53" s="97">
        <v>-395.4507540718426</v>
      </c>
      <c r="AD53" s="97">
        <v>-601.15591589022836</v>
      </c>
      <c r="AE53" s="97">
        <v>-846.49162818916841</v>
      </c>
      <c r="AF53" s="97">
        <v>-221.44528587910816</v>
      </c>
      <c r="AG53" s="97"/>
      <c r="AH53" s="97"/>
      <c r="AI53" s="97"/>
      <c r="AK53" s="97">
        <f t="shared" si="48"/>
        <v>-217.6344299153439</v>
      </c>
      <c r="AL53" s="97">
        <f t="shared" si="49"/>
        <v>-177.81632415649869</v>
      </c>
      <c r="AM53" s="97">
        <f t="shared" si="50"/>
        <v>-205.70516181838576</v>
      </c>
      <c r="AN53" s="97">
        <f t="shared" si="51"/>
        <v>-245.33571229894005</v>
      </c>
      <c r="AO53" s="97">
        <f t="shared" si="52"/>
        <v>-221.44528587910816</v>
      </c>
      <c r="AP53" s="97"/>
      <c r="AQ53" s="97"/>
      <c r="AR53" s="97"/>
      <c r="AT53" s="64"/>
    </row>
    <row r="54" spans="2:46" ht="15" customHeight="1" outlineLevel="1" x14ac:dyDescent="0.25">
      <c r="B54" s="192" t="s">
        <v>354</v>
      </c>
      <c r="C54" s="97" t="s">
        <v>17</v>
      </c>
      <c r="D54" s="97" t="s">
        <v>17</v>
      </c>
      <c r="E54" s="97" t="s">
        <v>17</v>
      </c>
      <c r="F54" s="97" t="s">
        <v>17</v>
      </c>
      <c r="G54" s="97" t="s">
        <v>17</v>
      </c>
      <c r="H54" s="97" t="s">
        <v>17</v>
      </c>
      <c r="I54" s="97" t="s">
        <v>17</v>
      </c>
      <c r="J54" s="97" t="s">
        <v>17</v>
      </c>
      <c r="K54" s="97" t="s">
        <v>17</v>
      </c>
      <c r="L54" s="97" t="s">
        <v>17</v>
      </c>
      <c r="M54" s="97" t="s">
        <v>17</v>
      </c>
      <c r="N54" s="97" t="s">
        <v>17</v>
      </c>
      <c r="O54" s="97" t="s">
        <v>17</v>
      </c>
      <c r="P54" s="97" t="s">
        <v>17</v>
      </c>
      <c r="Q54" s="97" t="s">
        <v>17</v>
      </c>
      <c r="R54" s="97">
        <v>57.771369824302006</v>
      </c>
      <c r="S54" s="97">
        <v>33.297439088566001</v>
      </c>
      <c r="T54" s="97">
        <v>33.764210602496995</v>
      </c>
      <c r="U54" s="97">
        <v>47.817109008000003</v>
      </c>
      <c r="V54" s="97">
        <v>70.532348447000004</v>
      </c>
      <c r="W54" s="97">
        <v>90.902104910000006</v>
      </c>
      <c r="X54" s="97">
        <v>45.847366678545995</v>
      </c>
      <c r="Y54" s="97">
        <f t="shared" si="47"/>
        <v>137.53065822414101</v>
      </c>
      <c r="Z54" s="97"/>
      <c r="AA54" s="237"/>
      <c r="AB54" s="97">
        <v>17.440831443151001</v>
      </c>
      <c r="AC54" s="97">
        <v>53.028241540360995</v>
      </c>
      <c r="AD54" s="97">
        <v>85.938483811663943</v>
      </c>
      <c r="AE54" s="97">
        <v>137.53065822414101</v>
      </c>
      <c r="AF54" s="97">
        <v>41.77444107508402</v>
      </c>
      <c r="AG54" s="97"/>
      <c r="AH54" s="97"/>
      <c r="AI54" s="97"/>
      <c r="AK54" s="97">
        <f t="shared" si="48"/>
        <v>17.440831443151001</v>
      </c>
      <c r="AL54" s="97">
        <f t="shared" si="49"/>
        <v>35.587410097209997</v>
      </c>
      <c r="AM54" s="97">
        <f t="shared" si="50"/>
        <v>32.910242271302948</v>
      </c>
      <c r="AN54" s="97">
        <f t="shared" si="51"/>
        <v>51.592174412477064</v>
      </c>
      <c r="AO54" s="97">
        <f t="shared" si="52"/>
        <v>41.77444107508402</v>
      </c>
      <c r="AP54" s="97"/>
      <c r="AQ54" s="97"/>
      <c r="AR54" s="97"/>
      <c r="AT54" s="64"/>
    </row>
    <row r="55" spans="2:46" ht="15" customHeight="1" outlineLevel="1" x14ac:dyDescent="0.25">
      <c r="B55" s="192" t="s">
        <v>235</v>
      </c>
      <c r="C55" s="97" t="s">
        <v>17</v>
      </c>
      <c r="D55" s="97" t="s">
        <v>17</v>
      </c>
      <c r="E55" s="97" t="s">
        <v>17</v>
      </c>
      <c r="F55" s="97" t="s">
        <v>17</v>
      </c>
      <c r="G55" s="97" t="s">
        <v>17</v>
      </c>
      <c r="H55" s="97" t="s">
        <v>17</v>
      </c>
      <c r="I55" s="97" t="s">
        <v>17</v>
      </c>
      <c r="J55" s="97" t="s">
        <v>17</v>
      </c>
      <c r="K55" s="97" t="s">
        <v>17</v>
      </c>
      <c r="L55" s="97" t="s">
        <v>17</v>
      </c>
      <c r="M55" s="97" t="s">
        <v>17</v>
      </c>
      <c r="N55" s="97" t="s">
        <v>17</v>
      </c>
      <c r="O55" s="97" t="s">
        <v>17</v>
      </c>
      <c r="P55" s="97" t="s">
        <v>17</v>
      </c>
      <c r="Q55" s="97" t="s">
        <v>17</v>
      </c>
      <c r="R55" s="97">
        <v>-188.954142201211</v>
      </c>
      <c r="S55" s="97">
        <v>-187.28102286537398</v>
      </c>
      <c r="T55" s="97">
        <v>-176.778571562965</v>
      </c>
      <c r="U55" s="97">
        <v>-204.12658771967199</v>
      </c>
      <c r="V55" s="97">
        <v>-204.61038241200001</v>
      </c>
      <c r="W55" s="97">
        <v>-184.01275449999994</v>
      </c>
      <c r="X55" s="97">
        <v>-209.61787442119999</v>
      </c>
      <c r="Y55" s="97">
        <f t="shared" si="47"/>
        <v>-214.02733061746309</v>
      </c>
      <c r="Z55" s="97"/>
      <c r="AA55" s="237"/>
      <c r="AB55" s="97">
        <v>-53.69521228686699</v>
      </c>
      <c r="AC55" s="97">
        <v>-106.46646891472201</v>
      </c>
      <c r="AD55" s="97">
        <v>-151.48325161720501</v>
      </c>
      <c r="AE55" s="97">
        <v>-214.02733061746309</v>
      </c>
      <c r="AF55" s="97">
        <v>-48.939122391139001</v>
      </c>
      <c r="AG55" s="97"/>
      <c r="AH55" s="97"/>
      <c r="AI55" s="97"/>
      <c r="AK55" s="97">
        <f t="shared" si="48"/>
        <v>-53.69521228686699</v>
      </c>
      <c r="AL55" s="97">
        <f t="shared" si="49"/>
        <v>-52.771256627855024</v>
      </c>
      <c r="AM55" s="97">
        <f t="shared" si="50"/>
        <v>-45.016782702482999</v>
      </c>
      <c r="AN55" s="97">
        <f t="shared" si="51"/>
        <v>-62.54407900025808</v>
      </c>
      <c r="AO55" s="97">
        <f t="shared" si="52"/>
        <v>-48.939122391139001</v>
      </c>
      <c r="AP55" s="97"/>
      <c r="AQ55" s="97"/>
      <c r="AR55" s="97"/>
      <c r="AT55" s="64"/>
    </row>
    <row r="56" spans="2:46" s="56" customFormat="1" ht="15" customHeight="1" outlineLevel="1" x14ac:dyDescent="0.25">
      <c r="B56" s="192" t="s">
        <v>355</v>
      </c>
      <c r="C56" s="97" t="s">
        <v>17</v>
      </c>
      <c r="D56" s="97" t="s">
        <v>17</v>
      </c>
      <c r="E56" s="97" t="s">
        <v>17</v>
      </c>
      <c r="F56" s="97" t="s">
        <v>17</v>
      </c>
      <c r="G56" s="97" t="s">
        <v>17</v>
      </c>
      <c r="H56" s="97" t="s">
        <v>17</v>
      </c>
      <c r="I56" s="97" t="s">
        <v>17</v>
      </c>
      <c r="J56" s="97" t="s">
        <v>17</v>
      </c>
      <c r="K56" s="97" t="s">
        <v>17</v>
      </c>
      <c r="L56" s="97" t="s">
        <v>17</v>
      </c>
      <c r="M56" s="97" t="s">
        <v>17</v>
      </c>
      <c r="N56" s="97" t="s">
        <v>17</v>
      </c>
      <c r="O56" s="97" t="s">
        <v>17</v>
      </c>
      <c r="P56" s="97" t="s">
        <v>17</v>
      </c>
      <c r="Q56" s="97" t="s">
        <v>17</v>
      </c>
      <c r="R56" s="97">
        <v>-17.755040261249988</v>
      </c>
      <c r="S56" s="97">
        <v>-35.412490176505003</v>
      </c>
      <c r="T56" s="97">
        <v>-4.9312461836310177</v>
      </c>
      <c r="U56" s="97">
        <v>-18.635810212736992</v>
      </c>
      <c r="V56" s="97">
        <v>-23.748460323000074</v>
      </c>
      <c r="W56" s="97">
        <v>28.410867774000096</v>
      </c>
      <c r="X56" s="97">
        <v>-39.224924156837915</v>
      </c>
      <c r="Y56" s="97">
        <f t="shared" si="47"/>
        <v>-54.967347109058409</v>
      </c>
      <c r="Z56" s="97"/>
      <c r="AA56" s="237"/>
      <c r="AB56" s="97">
        <v>-16.889651025288003</v>
      </c>
      <c r="AC56" s="97">
        <v>2.0407568893359098</v>
      </c>
      <c r="AD56" s="97">
        <v>-16.377600863602964</v>
      </c>
      <c r="AE56" s="97">
        <v>-54.967347109058409</v>
      </c>
      <c r="AF56" s="97">
        <v>-16.998694635829949</v>
      </c>
      <c r="AG56" s="97"/>
      <c r="AH56" s="97"/>
      <c r="AI56" s="97"/>
      <c r="AJ56" s="247"/>
      <c r="AK56" s="97">
        <f t="shared" si="48"/>
        <v>-16.889651025288003</v>
      </c>
      <c r="AL56" s="97">
        <f t="shared" si="49"/>
        <v>18.930407914623913</v>
      </c>
      <c r="AM56" s="97">
        <f t="shared" si="50"/>
        <v>-18.418357752938874</v>
      </c>
      <c r="AN56" s="97">
        <f t="shared" si="51"/>
        <v>-38.589746245455444</v>
      </c>
      <c r="AO56" s="97">
        <f t="shared" si="52"/>
        <v>-16.998694635829949</v>
      </c>
      <c r="AP56" s="97"/>
      <c r="AQ56" s="97"/>
      <c r="AR56" s="97"/>
      <c r="AS56" s="247"/>
      <c r="AT56" s="64"/>
    </row>
    <row r="57" spans="2:46" ht="15" customHeight="1" outlineLevel="1" x14ac:dyDescent="0.25">
      <c r="B57" s="192" t="s">
        <v>356</v>
      </c>
      <c r="C57" s="97" t="s">
        <v>17</v>
      </c>
      <c r="D57" s="97" t="s">
        <v>17</v>
      </c>
      <c r="E57" s="97" t="s">
        <v>17</v>
      </c>
      <c r="F57" s="97" t="s">
        <v>17</v>
      </c>
      <c r="G57" s="97" t="s">
        <v>17</v>
      </c>
      <c r="H57" s="97" t="s">
        <v>17</v>
      </c>
      <c r="I57" s="97" t="s">
        <v>17</v>
      </c>
      <c r="J57" s="97" t="s">
        <v>17</v>
      </c>
      <c r="K57" s="97" t="s">
        <v>17</v>
      </c>
      <c r="L57" s="97" t="s">
        <v>17</v>
      </c>
      <c r="M57" s="97" t="s">
        <v>17</v>
      </c>
      <c r="N57" s="97" t="s">
        <v>17</v>
      </c>
      <c r="O57" s="97" t="s">
        <v>17</v>
      </c>
      <c r="P57" s="97" t="s">
        <v>17</v>
      </c>
      <c r="Q57" s="97" t="s">
        <v>17</v>
      </c>
      <c r="R57" s="97">
        <v>70.019565940549967</v>
      </c>
      <c r="S57" s="97">
        <v>71.72652218405895</v>
      </c>
      <c r="T57" s="97">
        <v>219.395826766829</v>
      </c>
      <c r="U57" s="97">
        <v>102.464169710318</v>
      </c>
      <c r="V57" s="97">
        <v>50.573431811999306</v>
      </c>
      <c r="W57" s="97">
        <v>102.35119240499955</v>
      </c>
      <c r="X57" s="97">
        <v>19.062414545059752</v>
      </c>
      <c r="Y57" s="97">
        <f t="shared" si="47"/>
        <v>67.759079710609925</v>
      </c>
      <c r="Z57" s="97"/>
      <c r="AA57" s="237"/>
      <c r="AB57" s="97">
        <v>10.969248326179997</v>
      </c>
      <c r="AC57" s="97">
        <v>30.753008472721234</v>
      </c>
      <c r="AD57" s="97">
        <v>48.013158051000872</v>
      </c>
      <c r="AE57" s="97">
        <v>67.759079710609925</v>
      </c>
      <c r="AF57" s="97">
        <v>9.9503920928781699</v>
      </c>
      <c r="AG57" s="97"/>
      <c r="AH57" s="97"/>
      <c r="AI57" s="97"/>
      <c r="AK57" s="97">
        <f t="shared" si="48"/>
        <v>10.969248326179997</v>
      </c>
      <c r="AL57" s="97">
        <f t="shared" si="49"/>
        <v>19.783760146541237</v>
      </c>
      <c r="AM57" s="97">
        <f t="shared" si="50"/>
        <v>17.260149578279638</v>
      </c>
      <c r="AN57" s="97">
        <f t="shared" si="51"/>
        <v>19.745921659609053</v>
      </c>
      <c r="AO57" s="97">
        <f t="shared" si="52"/>
        <v>9.9503920928781699</v>
      </c>
      <c r="AP57" s="97"/>
      <c r="AQ57" s="97"/>
      <c r="AR57" s="97"/>
      <c r="AT57" s="64"/>
    </row>
    <row r="58" spans="2:46" ht="15" customHeight="1" x14ac:dyDescent="0.25">
      <c r="B58" s="6" t="s">
        <v>326</v>
      </c>
      <c r="C58" s="244" t="s">
        <v>17</v>
      </c>
      <c r="D58" s="244" t="s">
        <v>17</v>
      </c>
      <c r="E58" s="244" t="s">
        <v>17</v>
      </c>
      <c r="F58" s="244" t="s">
        <v>17</v>
      </c>
      <c r="G58" s="244">
        <v>1264.1503304237176</v>
      </c>
      <c r="H58" s="244">
        <v>1295.8063874457775</v>
      </c>
      <c r="I58" s="244">
        <f t="shared" ref="I58:P58" si="53">I47+I52</f>
        <v>1300.7788150000001</v>
      </c>
      <c r="J58" s="244">
        <f t="shared" si="53"/>
        <v>1504.589964</v>
      </c>
      <c r="K58" s="244">
        <f t="shared" si="53"/>
        <v>1567.7126830000002</v>
      </c>
      <c r="L58" s="244">
        <f t="shared" si="53"/>
        <v>1661.832807</v>
      </c>
      <c r="M58" s="244">
        <f t="shared" si="53"/>
        <v>1592.3571069999998</v>
      </c>
      <c r="N58" s="244">
        <f t="shared" si="53"/>
        <v>1464.6919890000001</v>
      </c>
      <c r="O58" s="244">
        <f t="shared" si="53"/>
        <v>1405.9330990000001</v>
      </c>
      <c r="P58" s="244">
        <f t="shared" si="53"/>
        <v>1636.2575555053038</v>
      </c>
      <c r="Q58" s="244">
        <v>1586.9649999938515</v>
      </c>
      <c r="R58" s="244">
        <v>1350.5372778181986</v>
      </c>
      <c r="S58" s="244">
        <v>1520.9844137339257</v>
      </c>
      <c r="T58" s="244">
        <v>1041.0934949818786</v>
      </c>
      <c r="U58" s="244">
        <v>1193.7053736940832</v>
      </c>
      <c r="V58" s="244">
        <v>1535.413636386</v>
      </c>
      <c r="W58" s="244">
        <v>1419.8521086769838</v>
      </c>
      <c r="X58" s="244">
        <v>1619.7726115357455</v>
      </c>
      <c r="Y58" s="463">
        <f t="shared" si="47"/>
        <v>1887.9737166861735</v>
      </c>
      <c r="Z58" s="463"/>
      <c r="AA58" s="237"/>
      <c r="AB58" s="244">
        <v>729.81709741908901</v>
      </c>
      <c r="AC58" s="244">
        <v>1056.4975562523464</v>
      </c>
      <c r="AD58" s="244">
        <v>1775.5319300618005</v>
      </c>
      <c r="AE58" s="244">
        <v>1887.9737166861735</v>
      </c>
      <c r="AF58" s="244">
        <v>676.27449966505105</v>
      </c>
      <c r="AG58" s="244"/>
      <c r="AH58" s="244"/>
      <c r="AI58" s="244"/>
      <c r="AK58" s="244">
        <f t="shared" si="48"/>
        <v>729.81709741908901</v>
      </c>
      <c r="AL58" s="244">
        <f t="shared" si="49"/>
        <v>326.68045883325738</v>
      </c>
      <c r="AM58" s="244">
        <f t="shared" si="50"/>
        <v>719.03437380945411</v>
      </c>
      <c r="AN58" s="244">
        <f t="shared" si="51"/>
        <v>112.44178662437298</v>
      </c>
      <c r="AO58" s="244">
        <f t="shared" si="52"/>
        <v>676.27449966505105</v>
      </c>
      <c r="AP58" s="244"/>
      <c r="AQ58" s="244"/>
      <c r="AR58" s="244"/>
      <c r="AT58" s="64"/>
    </row>
    <row r="59" spans="2:46" s="209" customFormat="1" ht="15" customHeight="1" x14ac:dyDescent="0.25">
      <c r="B59" s="510" t="s">
        <v>18</v>
      </c>
      <c r="C59" s="511" t="str">
        <f t="shared" ref="C59:P59" si="54">IFERROR(C58/B58-1,"-")</f>
        <v>-</v>
      </c>
      <c r="D59" s="511" t="str">
        <f t="shared" si="54"/>
        <v>-</v>
      </c>
      <c r="E59" s="511" t="str">
        <f t="shared" si="54"/>
        <v>-</v>
      </c>
      <c r="F59" s="511" t="str">
        <f t="shared" si="54"/>
        <v>-</v>
      </c>
      <c r="G59" s="511" t="str">
        <f t="shared" si="54"/>
        <v>-</v>
      </c>
      <c r="H59" s="511">
        <f t="shared" si="54"/>
        <v>2.5041370682116204E-2</v>
      </c>
      <c r="I59" s="511">
        <f t="shared" si="54"/>
        <v>3.8373229229282657E-3</v>
      </c>
      <c r="J59" s="511">
        <f t="shared" si="54"/>
        <v>0.15668393938288405</v>
      </c>
      <c r="K59" s="511">
        <f t="shared" si="54"/>
        <v>4.1953436158903123E-2</v>
      </c>
      <c r="L59" s="511">
        <f t="shared" si="54"/>
        <v>6.0036590263395695E-2</v>
      </c>
      <c r="M59" s="511">
        <f t="shared" si="54"/>
        <v>-4.1806672552950896E-2</v>
      </c>
      <c r="N59" s="511">
        <f t="shared" si="54"/>
        <v>-8.0173673002609802E-2</v>
      </c>
      <c r="O59" s="511">
        <f t="shared" si="54"/>
        <v>-4.0116891770615171E-2</v>
      </c>
      <c r="P59" s="511">
        <f t="shared" si="54"/>
        <v>0.16382319803774936</v>
      </c>
      <c r="Q59" s="511">
        <f t="shared" ref="Q59" si="55">IFERROR(Q58/P58-1,"-")</f>
        <v>-3.0125181298997883E-2</v>
      </c>
      <c r="R59" s="511">
        <f t="shared" ref="R59" si="56">IFERROR(R58/Q58-1,"-")</f>
        <v>-0.14898105640424897</v>
      </c>
      <c r="S59" s="511">
        <f t="shared" ref="S59" si="57">IFERROR(S58/R58-1,"-")</f>
        <v>0.12620690943909785</v>
      </c>
      <c r="T59" s="511">
        <f t="shared" ref="T59" si="58">IFERROR(T58/S58-1,"-")</f>
        <v>-0.31551337043220817</v>
      </c>
      <c r="U59" s="511">
        <f t="shared" ref="U59" si="59">IFERROR(U58/T58-1,"-")</f>
        <v>0.14658806288561133</v>
      </c>
      <c r="V59" s="511">
        <f t="shared" ref="V59" si="60">IFERROR(V58/U58-1,"-")</f>
        <v>0.28625846060695381</v>
      </c>
      <c r="W59" s="245">
        <f t="shared" ref="W59:X59" si="61">IFERROR(W58/V58-1,"-")</f>
        <v>-7.526410145804141E-2</v>
      </c>
      <c r="X59" s="245">
        <f t="shared" si="61"/>
        <v>0.14080375106464249</v>
      </c>
      <c r="Y59" s="245">
        <f>IFERROR(Y58/X58-1,"-")</f>
        <v>0.16557947902091019</v>
      </c>
      <c r="Z59" s="245"/>
      <c r="AA59" s="404"/>
      <c r="AB59" s="245" t="str">
        <f>IFERROR(AB58/#REF!-1,"-")</f>
        <v>-</v>
      </c>
      <c r="AC59" s="245" t="str">
        <f>IFERROR(AC58/#REF!-1,"-")</f>
        <v>-</v>
      </c>
      <c r="AD59" s="245" t="str">
        <f>IFERROR(AD58/#REF!-1,"-")</f>
        <v>-</v>
      </c>
      <c r="AE59" s="245" t="str">
        <f>IFERROR(AE58/#REF!-1,"-")</f>
        <v>-</v>
      </c>
      <c r="AF59" s="512">
        <f>IFERROR(AF58/AB58-1,"-")</f>
        <v>-7.336440588112414E-2</v>
      </c>
      <c r="AG59" s="245"/>
      <c r="AH59" s="245"/>
      <c r="AI59" s="245"/>
      <c r="AJ59" s="333"/>
      <c r="AK59" s="245" t="str">
        <f>IFERROR(AK58/#REF!-1,"-")</f>
        <v>-</v>
      </c>
      <c r="AL59" s="245" t="str">
        <f>IFERROR(AL58/#REF!-1,"-")</f>
        <v>-</v>
      </c>
      <c r="AM59" s="245" t="str">
        <f>IFERROR(AM58/#REF!-1,"-")</f>
        <v>-</v>
      </c>
      <c r="AN59" s="245" t="str">
        <f>IFERROR(AN58/#REF!-1,"-")</f>
        <v>-</v>
      </c>
      <c r="AO59" s="245">
        <f>IFERROR(AO58/AK58-1,"-")</f>
        <v>-7.336440588112414E-2</v>
      </c>
      <c r="AP59" s="245"/>
      <c r="AQ59" s="245"/>
      <c r="AR59" s="245"/>
      <c r="AS59" s="333"/>
      <c r="AT59" s="203"/>
    </row>
    <row r="60" spans="2:46" s="64" customFormat="1" ht="15" customHeight="1" x14ac:dyDescent="0.25">
      <c r="B60" t="s">
        <v>357</v>
      </c>
      <c r="C60" s="238" t="s">
        <v>17</v>
      </c>
      <c r="D60" s="238" t="s">
        <v>17</v>
      </c>
      <c r="E60" s="238" t="s">
        <v>17</v>
      </c>
      <c r="F60" s="238" t="s">
        <v>17</v>
      </c>
      <c r="G60" s="237">
        <v>152.1886451756603</v>
      </c>
      <c r="H60" s="237">
        <v>265.91488878560421</v>
      </c>
      <c r="I60" s="237">
        <v>280.848092610891</v>
      </c>
      <c r="J60" s="237">
        <v>283.59100000000001</v>
      </c>
      <c r="K60" s="237">
        <v>399.76519403847493</v>
      </c>
      <c r="L60" s="237">
        <v>427.23181487306999</v>
      </c>
      <c r="M60" s="237">
        <v>260.37769525453575</v>
      </c>
      <c r="N60" s="237">
        <v>282.53665256147798</v>
      </c>
      <c r="O60" s="237">
        <v>212.28935416581098</v>
      </c>
      <c r="P60" s="237">
        <v>310.95219909994103</v>
      </c>
      <c r="Q60" s="237">
        <v>277.76896808577999</v>
      </c>
      <c r="R60" s="237">
        <v>88.796444962089993</v>
      </c>
      <c r="S60" s="237">
        <v>10.303633203148987</v>
      </c>
      <c r="T60" s="237">
        <v>99.667203448857009</v>
      </c>
      <c r="U60" s="237">
        <v>225.900711607235</v>
      </c>
      <c r="V60" s="237">
        <v>309.11099368299995</v>
      </c>
      <c r="W60" s="237">
        <v>261.89168124699972</v>
      </c>
      <c r="X60" s="237">
        <v>398.49013019496982</v>
      </c>
      <c r="Y60" s="237">
        <f t="shared" ref="Y60:Y70" si="62">AE60</f>
        <v>507.21922452084794</v>
      </c>
      <c r="Z60" s="237"/>
      <c r="AA60" s="237"/>
      <c r="AB60" s="237">
        <v>226.332376686808</v>
      </c>
      <c r="AC60" s="237">
        <v>350.52267223266</v>
      </c>
      <c r="AD60" s="237">
        <v>422.32690410221721</v>
      </c>
      <c r="AE60" s="237">
        <v>507.21922452084794</v>
      </c>
      <c r="AF60" s="237">
        <v>-158.82538171089504</v>
      </c>
      <c r="AG60" s="237"/>
      <c r="AH60" s="237"/>
      <c r="AI60" s="237"/>
      <c r="AJ60" s="241"/>
      <c r="AK60" s="237">
        <f t="shared" ref="AK60:AK72" si="63">AB60</f>
        <v>226.332376686808</v>
      </c>
      <c r="AL60" s="237">
        <f>AC60-AB60</f>
        <v>124.190295545852</v>
      </c>
      <c r="AM60" s="237">
        <f>AD60-AC60</f>
        <v>71.804231869557213</v>
      </c>
      <c r="AN60" s="237">
        <f>AE60-AD60</f>
        <v>84.892320418630732</v>
      </c>
      <c r="AO60" s="237">
        <f t="shared" ref="AO60:AO72" si="64">AF60</f>
        <v>-158.82538171089504</v>
      </c>
      <c r="AP60" s="237"/>
      <c r="AQ60" s="237"/>
      <c r="AR60" s="237"/>
      <c r="AS60" s="241"/>
    </row>
    <row r="61" spans="2:46" ht="15" customHeight="1" x14ac:dyDescent="0.25">
      <c r="B61" s="193" t="s">
        <v>358</v>
      </c>
      <c r="C61" s="248" t="s">
        <v>17</v>
      </c>
      <c r="D61" s="248" t="s">
        <v>17</v>
      </c>
      <c r="E61" s="248" t="s">
        <v>17</v>
      </c>
      <c r="F61" s="248" t="s">
        <v>17</v>
      </c>
      <c r="G61" s="249">
        <f t="shared" ref="G61:N61" si="65">G60/G58</f>
        <v>0.12038809112572058</v>
      </c>
      <c r="H61" s="249">
        <f t="shared" si="65"/>
        <v>0.20521189844553941</v>
      </c>
      <c r="I61" s="249">
        <f t="shared" si="65"/>
        <v>0.21590764653627217</v>
      </c>
      <c r="J61" s="249">
        <f t="shared" si="65"/>
        <v>0.18848391042438192</v>
      </c>
      <c r="K61" s="249">
        <f t="shared" si="65"/>
        <v>0.25499901759643728</v>
      </c>
      <c r="L61" s="249">
        <f t="shared" si="65"/>
        <v>0.2570847157869775</v>
      </c>
      <c r="M61" s="249">
        <f t="shared" si="65"/>
        <v>0.16351714958278876</v>
      </c>
      <c r="N61" s="249">
        <f t="shared" si="65"/>
        <v>0.19289833950302157</v>
      </c>
      <c r="O61" s="249">
        <f>O60/O58</f>
        <v>0.15099534559418673</v>
      </c>
      <c r="P61" s="249">
        <f>P60/P58</f>
        <v>0.19003866356718749</v>
      </c>
      <c r="Q61" s="249">
        <v>0.17503156533814934</v>
      </c>
      <c r="R61" s="249">
        <v>7.0000000000000007E-2</v>
      </c>
      <c r="S61" s="249">
        <v>0.01</v>
      </c>
      <c r="T61" s="249">
        <v>9.5733192003655571E-2</v>
      </c>
      <c r="U61" s="249">
        <v>0.18924327274171063</v>
      </c>
      <c r="V61" s="249">
        <v>0.20132099022552255</v>
      </c>
      <c r="W61" s="249">
        <v>0.18444997168826971</v>
      </c>
      <c r="X61" s="249">
        <v>0.24601609346706493</v>
      </c>
      <c r="Y61" s="249">
        <f t="shared" si="62"/>
        <v>0.26865799033004228</v>
      </c>
      <c r="Z61" s="249"/>
      <c r="AA61" s="237"/>
      <c r="AB61" s="249">
        <v>0.31012205316538272</v>
      </c>
      <c r="AC61" s="249">
        <v>0.33177802462321743</v>
      </c>
      <c r="AD61" s="249">
        <v>0.23785936876253044</v>
      </c>
      <c r="AE61" s="249">
        <v>0.26865799033004228</v>
      </c>
      <c r="AF61" s="249">
        <v>0.23485342385312319</v>
      </c>
      <c r="AG61" s="249"/>
      <c r="AH61" s="249"/>
      <c r="AI61" s="249"/>
      <c r="AK61" s="248">
        <f t="shared" si="63"/>
        <v>0.31012205316538272</v>
      </c>
      <c r="AL61" s="248" t="s">
        <v>17</v>
      </c>
      <c r="AM61" s="248" t="s">
        <v>17</v>
      </c>
      <c r="AN61" s="248" t="s">
        <v>17</v>
      </c>
      <c r="AO61" s="248">
        <f t="shared" si="64"/>
        <v>0.23485342385312319</v>
      </c>
      <c r="AP61" s="248"/>
      <c r="AQ61" s="248"/>
      <c r="AR61" s="248"/>
      <c r="AT61" s="64"/>
    </row>
    <row r="62" spans="2:46" ht="15" customHeight="1" x14ac:dyDescent="0.25">
      <c r="B62" t="s">
        <v>20</v>
      </c>
      <c r="C62" s="238" t="s">
        <v>17</v>
      </c>
      <c r="D62" s="238" t="s">
        <v>17</v>
      </c>
      <c r="E62" s="238" t="s">
        <v>17</v>
      </c>
      <c r="F62" s="238" t="s">
        <v>17</v>
      </c>
      <c r="G62" s="237">
        <v>0</v>
      </c>
      <c r="H62" s="237">
        <v>-12.808512</v>
      </c>
      <c r="I62" s="237">
        <v>0</v>
      </c>
      <c r="J62" s="237">
        <v>-8.4475570000000015</v>
      </c>
      <c r="K62" s="238" t="s">
        <v>17</v>
      </c>
      <c r="L62" s="238" t="s">
        <v>17</v>
      </c>
      <c r="M62" s="238" t="s">
        <v>17</v>
      </c>
      <c r="N62" s="238" t="s">
        <v>17</v>
      </c>
      <c r="O62" s="238" t="s">
        <v>17</v>
      </c>
      <c r="P62" s="238" t="s">
        <v>17</v>
      </c>
      <c r="Q62" s="238" t="s">
        <v>17</v>
      </c>
      <c r="R62" s="238" t="s">
        <v>17</v>
      </c>
      <c r="S62" s="238" t="s">
        <v>17</v>
      </c>
      <c r="T62" s="238" t="s">
        <v>17</v>
      </c>
      <c r="U62" s="238" t="s">
        <v>17</v>
      </c>
      <c r="V62" s="238" t="s">
        <v>17</v>
      </c>
      <c r="W62" s="238" t="s">
        <v>17</v>
      </c>
      <c r="X62" s="238" t="s">
        <v>17</v>
      </c>
      <c r="Y62" s="238">
        <f t="shared" si="62"/>
        <v>0</v>
      </c>
      <c r="Z62" s="238"/>
      <c r="AA62" s="237"/>
      <c r="AB62" s="238"/>
      <c r="AC62" s="238"/>
      <c r="AD62" s="238"/>
      <c r="AE62" s="238"/>
      <c r="AF62" s="238"/>
      <c r="AG62" s="238"/>
      <c r="AH62" s="238"/>
      <c r="AI62" s="238"/>
      <c r="AK62" s="248">
        <f t="shared" si="63"/>
        <v>0</v>
      </c>
      <c r="AL62" s="248" t="s">
        <v>17</v>
      </c>
      <c r="AM62" s="248" t="s">
        <v>17</v>
      </c>
      <c r="AN62" s="248" t="s">
        <v>17</v>
      </c>
      <c r="AO62" s="248">
        <f t="shared" si="64"/>
        <v>0</v>
      </c>
      <c r="AP62" s="248"/>
      <c r="AQ62" s="248"/>
      <c r="AR62" s="248"/>
      <c r="AT62" s="64"/>
    </row>
    <row r="63" spans="2:46" ht="15" customHeight="1" x14ac:dyDescent="0.25">
      <c r="B63" s="3" t="s">
        <v>359</v>
      </c>
      <c r="C63" s="238" t="s">
        <v>17</v>
      </c>
      <c r="D63" s="238" t="s">
        <v>17</v>
      </c>
      <c r="E63" s="238" t="s">
        <v>17</v>
      </c>
      <c r="F63" s="238" t="s">
        <v>17</v>
      </c>
      <c r="G63" s="238" t="s">
        <v>17</v>
      </c>
      <c r="H63" s="238" t="s">
        <v>17</v>
      </c>
      <c r="I63" s="238" t="s">
        <v>17</v>
      </c>
      <c r="J63" s="238" t="s">
        <v>17</v>
      </c>
      <c r="K63" s="238" t="s">
        <v>17</v>
      </c>
      <c r="L63" s="238" t="s">
        <v>17</v>
      </c>
      <c r="M63" s="238" t="s">
        <v>17</v>
      </c>
      <c r="N63" s="238" t="s">
        <v>17</v>
      </c>
      <c r="O63" s="238" t="s">
        <v>17</v>
      </c>
      <c r="P63" s="237">
        <v>61.495509939999998</v>
      </c>
      <c r="Q63" s="237">
        <v>62.053771679999997</v>
      </c>
      <c r="R63" s="237">
        <v>61.629912529999999</v>
      </c>
      <c r="S63" s="237">
        <v>69.24624759999999</v>
      </c>
      <c r="T63" s="237">
        <v>65.344551820000007</v>
      </c>
      <c r="U63" s="237">
        <v>68.47730331999999</v>
      </c>
      <c r="V63" s="237">
        <v>65.109403619999995</v>
      </c>
      <c r="W63" s="237">
        <v>53.314496079999998</v>
      </c>
      <c r="X63" s="237">
        <v>51.534143579999999</v>
      </c>
      <c r="Y63" s="237">
        <f t="shared" si="62"/>
        <v>49.364742880000001</v>
      </c>
      <c r="Z63" s="237"/>
      <c r="AA63" s="237"/>
      <c r="AB63" s="237">
        <v>50.438309959999998</v>
      </c>
      <c r="AC63" s="237">
        <v>49.359173119999994</v>
      </c>
      <c r="AD63" s="237">
        <v>49.359173120000001</v>
      </c>
      <c r="AE63" s="237">
        <v>49.364742880000001</v>
      </c>
      <c r="AF63" s="237">
        <v>-48.262786010000006</v>
      </c>
      <c r="AG63" s="237"/>
      <c r="AH63" s="237"/>
      <c r="AI63" s="237"/>
      <c r="AK63" s="237">
        <f t="shared" si="63"/>
        <v>50.438309959999998</v>
      </c>
      <c r="AL63" s="237">
        <f t="shared" ref="AL63:AL72" si="66">AC63-AB63</f>
        <v>-1.0791368400000039</v>
      </c>
      <c r="AM63" s="237">
        <f t="shared" ref="AM63:AM72" si="67">AD63-AC63</f>
        <v>0</v>
      </c>
      <c r="AN63" s="237">
        <f t="shared" ref="AN63:AN72" si="68">AE63-AD63</f>
        <v>5.5697600000002012E-3</v>
      </c>
      <c r="AO63" s="237">
        <f t="shared" si="64"/>
        <v>-48.262786010000006</v>
      </c>
      <c r="AP63" s="237"/>
      <c r="AQ63" s="237"/>
      <c r="AR63" s="237"/>
      <c r="AT63" s="64"/>
    </row>
    <row r="64" spans="2:46" ht="15" customHeight="1" x14ac:dyDescent="0.25">
      <c r="B64" s="4" t="s">
        <v>236</v>
      </c>
      <c r="C64" s="238" t="s">
        <v>17</v>
      </c>
      <c r="D64" s="238" t="s">
        <v>17</v>
      </c>
      <c r="E64" s="238" t="s">
        <v>17</v>
      </c>
      <c r="F64" s="238" t="s">
        <v>17</v>
      </c>
      <c r="G64" s="237">
        <v>40.859190661908997</v>
      </c>
      <c r="H64" s="237">
        <v>76.259627013910091</v>
      </c>
      <c r="I64" s="237">
        <v>112.678570527547</v>
      </c>
      <c r="J64" s="237">
        <v>120.143</v>
      </c>
      <c r="K64" s="237">
        <v>144.10280517738698</v>
      </c>
      <c r="L64" s="237">
        <v>155.67614470996699</v>
      </c>
      <c r="M64" s="237">
        <v>207.316437595043</v>
      </c>
      <c r="N64" s="237">
        <v>169.67216780085599</v>
      </c>
      <c r="O64" s="237">
        <v>188.55301072875199</v>
      </c>
      <c r="P64" s="237">
        <v>223.36164880415501</v>
      </c>
      <c r="Q64" s="237">
        <v>334.43951855345398</v>
      </c>
      <c r="R64" s="237">
        <v>239.549915142896</v>
      </c>
      <c r="S64" s="237">
        <v>328.265930853643</v>
      </c>
      <c r="T64" s="237">
        <v>356.89243568504099</v>
      </c>
      <c r="U64" s="237">
        <v>387.57642128589998</v>
      </c>
      <c r="V64" s="237">
        <v>360.50125907699993</v>
      </c>
      <c r="W64" s="237">
        <v>447.92915008800009</v>
      </c>
      <c r="X64" s="237">
        <v>490.74750251467424</v>
      </c>
      <c r="Y64" s="237">
        <f t="shared" si="62"/>
        <v>379.04194389579203</v>
      </c>
      <c r="Z64" s="237"/>
      <c r="AA64" s="237"/>
      <c r="AB64" s="237">
        <v>150.38768542771206</v>
      </c>
      <c r="AC64" s="237">
        <v>219.85705641471679</v>
      </c>
      <c r="AD64" s="237">
        <v>358.2660282612319</v>
      </c>
      <c r="AE64" s="237">
        <v>379.04194389579203</v>
      </c>
      <c r="AF64" s="237">
        <v>114.90296004798711</v>
      </c>
      <c r="AG64" s="237"/>
      <c r="AH64" s="237"/>
      <c r="AI64" s="237"/>
      <c r="AK64" s="237">
        <f t="shared" si="63"/>
        <v>150.38768542771206</v>
      </c>
      <c r="AL64" s="237">
        <f t="shared" si="66"/>
        <v>69.469370987004737</v>
      </c>
      <c r="AM64" s="237">
        <f t="shared" si="67"/>
        <v>138.4089718465151</v>
      </c>
      <c r="AN64" s="237">
        <f t="shared" si="68"/>
        <v>20.775915634560135</v>
      </c>
      <c r="AO64" s="237">
        <f t="shared" si="64"/>
        <v>114.90296004798711</v>
      </c>
      <c r="AP64" s="237"/>
      <c r="AQ64" s="237"/>
      <c r="AR64" s="237"/>
      <c r="AT64" s="64"/>
    </row>
    <row r="65" spans="2:46" ht="15" customHeight="1" outlineLevel="1" x14ac:dyDescent="0.25">
      <c r="B65" s="192" t="s">
        <v>21</v>
      </c>
      <c r="C65" s="97" t="s">
        <v>17</v>
      </c>
      <c r="D65" s="97" t="s">
        <v>17</v>
      </c>
      <c r="E65" s="97" t="s">
        <v>17</v>
      </c>
      <c r="F65" s="97" t="s">
        <v>17</v>
      </c>
      <c r="G65" s="97" t="s">
        <v>17</v>
      </c>
      <c r="H65" s="97" t="s">
        <v>17</v>
      </c>
      <c r="I65" s="97" t="s">
        <v>17</v>
      </c>
      <c r="J65" s="97" t="s">
        <v>17</v>
      </c>
      <c r="K65" s="97" t="s">
        <v>17</v>
      </c>
      <c r="L65" s="97" t="s">
        <v>17</v>
      </c>
      <c r="M65" s="97" t="s">
        <v>17</v>
      </c>
      <c r="N65" s="97" t="s">
        <v>17</v>
      </c>
      <c r="O65" s="97" t="s">
        <v>17</v>
      </c>
      <c r="P65" s="97" t="s">
        <v>17</v>
      </c>
      <c r="Q65" s="97" t="s">
        <v>17</v>
      </c>
      <c r="R65" s="97">
        <v>120</v>
      </c>
      <c r="S65" s="97">
        <v>180</v>
      </c>
      <c r="T65" s="97">
        <v>158.803819225719</v>
      </c>
      <c r="U65" s="97">
        <v>147.53881052548599</v>
      </c>
      <c r="V65" s="97">
        <v>127.171206394</v>
      </c>
      <c r="W65" s="97">
        <v>154.135062874</v>
      </c>
      <c r="X65" s="97">
        <v>200.87115877106629</v>
      </c>
      <c r="Y65" s="97">
        <f t="shared" si="62"/>
        <v>150.42048667230594</v>
      </c>
      <c r="Z65" s="97"/>
      <c r="AA65" s="237"/>
      <c r="AB65" s="97">
        <v>51.728577641721017</v>
      </c>
      <c r="AC65" s="97">
        <v>84.992605132788952</v>
      </c>
      <c r="AD65" s="97">
        <v>114.41416015073794</v>
      </c>
      <c r="AE65" s="97">
        <v>150.42048667230594</v>
      </c>
      <c r="AF65" s="97">
        <v>45.950357437233031</v>
      </c>
      <c r="AG65" s="97"/>
      <c r="AH65" s="97"/>
      <c r="AI65" s="97"/>
      <c r="AK65" s="97">
        <f t="shared" si="63"/>
        <v>51.728577641721017</v>
      </c>
      <c r="AL65" s="97">
        <f t="shared" si="66"/>
        <v>33.264027491067935</v>
      </c>
      <c r="AM65" s="97">
        <f t="shared" si="67"/>
        <v>29.42155501794899</v>
      </c>
      <c r="AN65" s="97">
        <f t="shared" si="68"/>
        <v>36.006326521567999</v>
      </c>
      <c r="AO65" s="97">
        <f t="shared" si="64"/>
        <v>45.950357437233031</v>
      </c>
      <c r="AP65" s="97"/>
      <c r="AQ65" s="97"/>
      <c r="AR65" s="97"/>
      <c r="AT65" s="64"/>
    </row>
    <row r="66" spans="2:46" ht="15" customHeight="1" outlineLevel="1" x14ac:dyDescent="0.25">
      <c r="B66" s="149" t="s">
        <v>237</v>
      </c>
      <c r="C66" s="97" t="s">
        <v>17</v>
      </c>
      <c r="D66" s="97" t="s">
        <v>17</v>
      </c>
      <c r="E66" s="97" t="s">
        <v>17</v>
      </c>
      <c r="F66" s="97" t="s">
        <v>17</v>
      </c>
      <c r="G66" s="97" t="s">
        <v>17</v>
      </c>
      <c r="H66" s="97" t="s">
        <v>17</v>
      </c>
      <c r="I66" s="97" t="s">
        <v>17</v>
      </c>
      <c r="J66" s="97" t="s">
        <v>17</v>
      </c>
      <c r="K66" s="97" t="s">
        <v>17</v>
      </c>
      <c r="L66" s="97" t="s">
        <v>17</v>
      </c>
      <c r="M66" s="97" t="s">
        <v>17</v>
      </c>
      <c r="N66" s="97" t="s">
        <v>17</v>
      </c>
      <c r="O66" s="97" t="s">
        <v>17</v>
      </c>
      <c r="P66" s="97" t="s">
        <v>17</v>
      </c>
      <c r="Q66" s="97" t="s">
        <v>17</v>
      </c>
      <c r="R66" s="97">
        <v>5</v>
      </c>
      <c r="S66" s="97">
        <v>51</v>
      </c>
      <c r="T66" s="97">
        <v>50.896180774281007</v>
      </c>
      <c r="U66" s="97">
        <v>70.361189474514021</v>
      </c>
      <c r="V66" s="97">
        <v>92.473851058999884</v>
      </c>
      <c r="W66" s="97">
        <v>86.584643276000008</v>
      </c>
      <c r="X66" s="97">
        <v>161.14636126664089</v>
      </c>
      <c r="Y66" s="97">
        <f t="shared" si="62"/>
        <v>144.68114460288294</v>
      </c>
      <c r="Z66" s="97"/>
      <c r="AA66" s="237"/>
      <c r="AB66" s="97">
        <v>49.046649212828981</v>
      </c>
      <c r="AC66" s="97">
        <v>84.555248174618782</v>
      </c>
      <c r="AD66" s="97">
        <v>175.15467985953342</v>
      </c>
      <c r="AE66" s="97">
        <v>144.68114460288294</v>
      </c>
      <c r="AF66" s="97">
        <v>53.198894593007843</v>
      </c>
      <c r="AG66" s="97"/>
      <c r="AH66" s="97"/>
      <c r="AI66" s="97"/>
      <c r="AK66" s="97">
        <f t="shared" si="63"/>
        <v>49.046649212828981</v>
      </c>
      <c r="AL66" s="97">
        <f t="shared" si="66"/>
        <v>35.508598961789801</v>
      </c>
      <c r="AM66" s="97">
        <f t="shared" si="67"/>
        <v>90.599431684914634</v>
      </c>
      <c r="AN66" s="97">
        <f t="shared" si="68"/>
        <v>-30.473535256650479</v>
      </c>
      <c r="AO66" s="97">
        <f t="shared" si="64"/>
        <v>53.198894593007843</v>
      </c>
      <c r="AP66" s="97"/>
      <c r="AQ66" s="97"/>
      <c r="AR66" s="97"/>
      <c r="AT66" s="64"/>
    </row>
    <row r="67" spans="2:46" ht="15" customHeight="1" outlineLevel="1" x14ac:dyDescent="0.25">
      <c r="B67" s="192" t="s">
        <v>22</v>
      </c>
      <c r="C67" s="97" t="s">
        <v>17</v>
      </c>
      <c r="D67" s="97" t="s">
        <v>17</v>
      </c>
      <c r="E67" s="97" t="s">
        <v>17</v>
      </c>
      <c r="F67" s="97" t="s">
        <v>17</v>
      </c>
      <c r="G67" s="97" t="s">
        <v>17</v>
      </c>
      <c r="H67" s="97" t="s">
        <v>17</v>
      </c>
      <c r="I67" s="97" t="s">
        <v>17</v>
      </c>
      <c r="J67" s="97" t="s">
        <v>17</v>
      </c>
      <c r="K67" s="97" t="s">
        <v>17</v>
      </c>
      <c r="L67" s="97" t="s">
        <v>17</v>
      </c>
      <c r="M67" s="97" t="s">
        <v>17</v>
      </c>
      <c r="N67" s="97" t="s">
        <v>17</v>
      </c>
      <c r="O67" s="97" t="s">
        <v>17</v>
      </c>
      <c r="P67" s="97" t="s">
        <v>17</v>
      </c>
      <c r="Q67" s="97" t="s">
        <v>17</v>
      </c>
      <c r="R67" s="97">
        <v>44</v>
      </c>
      <c r="S67" s="97">
        <v>22</v>
      </c>
      <c r="T67" s="97">
        <v>32.960428043364004</v>
      </c>
      <c r="U67" s="97">
        <v>35.225749775773004</v>
      </c>
      <c r="V67" s="97">
        <v>34.269300225999999</v>
      </c>
      <c r="W67" s="97">
        <v>32.544765683999998</v>
      </c>
      <c r="X67" s="97">
        <v>35.456595939065004</v>
      </c>
      <c r="Y67" s="97">
        <f t="shared" si="62"/>
        <v>39.349340742917001</v>
      </c>
      <c r="Z67" s="97"/>
      <c r="AA67" s="237"/>
      <c r="AB67" s="97">
        <v>7.8963503246180009</v>
      </c>
      <c r="AC67" s="97">
        <v>17.426057737436</v>
      </c>
      <c r="AD67" s="97">
        <v>28.317953424795</v>
      </c>
      <c r="AE67" s="97">
        <v>39.349340742917001</v>
      </c>
      <c r="AF67" s="97">
        <v>8.8157184292970001</v>
      </c>
      <c r="AG67" s="97"/>
      <c r="AH67" s="97"/>
      <c r="AI67" s="97"/>
      <c r="AK67" s="97">
        <f t="shared" si="63"/>
        <v>7.8963503246180009</v>
      </c>
      <c r="AL67" s="97">
        <f t="shared" si="66"/>
        <v>9.5297074128179986</v>
      </c>
      <c r="AM67" s="97">
        <f t="shared" si="67"/>
        <v>10.891895687359</v>
      </c>
      <c r="AN67" s="97">
        <f t="shared" si="68"/>
        <v>11.031387318122</v>
      </c>
      <c r="AO67" s="97">
        <f t="shared" si="64"/>
        <v>8.8157184292970001</v>
      </c>
      <c r="AP67" s="97"/>
      <c r="AQ67" s="97"/>
      <c r="AR67" s="97"/>
      <c r="AT67" s="64"/>
    </row>
    <row r="68" spans="2:46" ht="15" customHeight="1" outlineLevel="1" x14ac:dyDescent="0.25">
      <c r="B68" s="149" t="s">
        <v>23</v>
      </c>
      <c r="C68" s="97" t="s">
        <v>17</v>
      </c>
      <c r="D68" s="97" t="s">
        <v>17</v>
      </c>
      <c r="E68" s="97" t="s">
        <v>17</v>
      </c>
      <c r="F68" s="97" t="s">
        <v>17</v>
      </c>
      <c r="G68" s="97" t="s">
        <v>17</v>
      </c>
      <c r="H68" s="97" t="s">
        <v>17</v>
      </c>
      <c r="I68" s="97" t="s">
        <v>17</v>
      </c>
      <c r="J68" s="97" t="s">
        <v>17</v>
      </c>
      <c r="K68" s="97" t="s">
        <v>17</v>
      </c>
      <c r="L68" s="97" t="s">
        <v>17</v>
      </c>
      <c r="M68" s="97" t="s">
        <v>17</v>
      </c>
      <c r="N68" s="97" t="s">
        <v>17</v>
      </c>
      <c r="O68" s="97" t="s">
        <v>17</v>
      </c>
      <c r="P68" s="97" t="s">
        <v>17</v>
      </c>
      <c r="Q68" s="97" t="s">
        <v>17</v>
      </c>
      <c r="R68" s="97">
        <v>73</v>
      </c>
      <c r="S68" s="97">
        <v>78</v>
      </c>
      <c r="T68" s="97">
        <v>118.139571956636</v>
      </c>
      <c r="U68" s="97">
        <v>142.27425022422699</v>
      </c>
      <c r="V68" s="97">
        <v>114.72641892599997</v>
      </c>
      <c r="W68" s="97">
        <v>143.69606242300009</v>
      </c>
      <c r="X68" s="97">
        <v>48.464250900521002</v>
      </c>
      <c r="Y68" s="97">
        <f t="shared" si="62"/>
        <v>17.773817950674001</v>
      </c>
      <c r="Z68" s="97"/>
      <c r="AA68" s="237"/>
      <c r="AB68" s="97">
        <v>36.058972510521997</v>
      </c>
      <c r="AC68" s="97">
        <v>18.967492321271006</v>
      </c>
      <c r="AD68" s="97">
        <v>17.669647000000005</v>
      </c>
      <c r="AE68" s="97">
        <v>17.773817950674001</v>
      </c>
      <c r="AF68" s="97">
        <v>0</v>
      </c>
      <c r="AG68" s="97"/>
      <c r="AH68" s="97"/>
      <c r="AI68" s="97"/>
      <c r="AK68" s="97">
        <f t="shared" si="63"/>
        <v>36.058972510521997</v>
      </c>
      <c r="AL68" s="97">
        <f t="shared" si="66"/>
        <v>-17.091480189250991</v>
      </c>
      <c r="AM68" s="97">
        <f t="shared" si="67"/>
        <v>-1.2978453212710015</v>
      </c>
      <c r="AN68" s="97">
        <f t="shared" si="68"/>
        <v>0.10417095067399629</v>
      </c>
      <c r="AO68" s="97">
        <f t="shared" si="64"/>
        <v>0</v>
      </c>
      <c r="AP68" s="97"/>
      <c r="AQ68" s="97"/>
      <c r="AR68" s="97"/>
      <c r="AT68" s="64"/>
    </row>
    <row r="69" spans="2:46" ht="15" customHeight="1" outlineLevel="1" x14ac:dyDescent="0.25">
      <c r="B69" s="192" t="s">
        <v>24</v>
      </c>
      <c r="C69" s="97" t="s">
        <v>17</v>
      </c>
      <c r="D69" s="97" t="s">
        <v>17</v>
      </c>
      <c r="E69" s="97" t="s">
        <v>17</v>
      </c>
      <c r="F69" s="97" t="s">
        <v>17</v>
      </c>
      <c r="G69" s="97" t="s">
        <v>17</v>
      </c>
      <c r="H69" s="97" t="s">
        <v>17</v>
      </c>
      <c r="I69" s="97" t="s">
        <v>17</v>
      </c>
      <c r="J69" s="97" t="s">
        <v>17</v>
      </c>
      <c r="K69" s="97" t="s">
        <v>17</v>
      </c>
      <c r="L69" s="97" t="s">
        <v>17</v>
      </c>
      <c r="M69" s="97" t="s">
        <v>17</v>
      </c>
      <c r="N69" s="97" t="s">
        <v>17</v>
      </c>
      <c r="O69" s="97" t="s">
        <v>17</v>
      </c>
      <c r="P69" s="97" t="s">
        <v>17</v>
      </c>
      <c r="Q69" s="97" t="s">
        <v>17</v>
      </c>
      <c r="R69" s="97">
        <v>-3</v>
      </c>
      <c r="S69" s="97">
        <v>-2.7570000000000001</v>
      </c>
      <c r="T69" s="97">
        <v>-3.8999999999999995</v>
      </c>
      <c r="U69" s="97">
        <v>-7.823578714100023</v>
      </c>
      <c r="V69" s="97">
        <v>-8.1395175279999137</v>
      </c>
      <c r="W69" s="97">
        <v>30.968615830999994</v>
      </c>
      <c r="X69" s="97">
        <v>44.809135637381047</v>
      </c>
      <c r="Y69" s="97">
        <f t="shared" si="62"/>
        <v>26.81715392701215</v>
      </c>
      <c r="Z69" s="97"/>
      <c r="AA69" s="237"/>
      <c r="AB69" s="97">
        <v>5.6571357380220633</v>
      </c>
      <c r="AC69" s="97">
        <v>13.915653048602053</v>
      </c>
      <c r="AD69" s="97">
        <v>22.709587826165546</v>
      </c>
      <c r="AE69" s="97">
        <v>26.81715392701215</v>
      </c>
      <c r="AF69" s="97">
        <v>6.9379895884492342</v>
      </c>
      <c r="AG69" s="97"/>
      <c r="AH69" s="97"/>
      <c r="AI69" s="97"/>
      <c r="AK69" s="97">
        <f t="shared" si="63"/>
        <v>5.6571357380220633</v>
      </c>
      <c r="AL69" s="97">
        <f t="shared" si="66"/>
        <v>8.2585173105799896</v>
      </c>
      <c r="AM69" s="97">
        <f t="shared" si="67"/>
        <v>8.7939347775634928</v>
      </c>
      <c r="AN69" s="97">
        <f t="shared" si="68"/>
        <v>4.1075661008466042</v>
      </c>
      <c r="AO69" s="97">
        <f t="shared" si="64"/>
        <v>6.9379895884492342</v>
      </c>
      <c r="AP69" s="97"/>
      <c r="AQ69" s="97"/>
      <c r="AR69" s="97"/>
      <c r="AT69" s="64"/>
    </row>
    <row r="70" spans="2:46" ht="15" customHeight="1" x14ac:dyDescent="0.25">
      <c r="B70" s="15" t="s">
        <v>360</v>
      </c>
      <c r="C70" s="237">
        <v>450.8</v>
      </c>
      <c r="D70" s="237">
        <v>335.3</v>
      </c>
      <c r="E70" s="237">
        <v>381.1</v>
      </c>
      <c r="F70" s="237">
        <v>440.2</v>
      </c>
      <c r="G70" s="237">
        <v>1071</v>
      </c>
      <c r="H70" s="237">
        <v>940.8</v>
      </c>
      <c r="I70" s="237">
        <v>907.25215200000002</v>
      </c>
      <c r="J70" s="237">
        <v>1091.8658310000001</v>
      </c>
      <c r="K70" s="237">
        <v>1023.844684</v>
      </c>
      <c r="L70" s="237">
        <v>1078.924845</v>
      </c>
      <c r="M70" s="237">
        <v>1124.662975</v>
      </c>
      <c r="N70" s="237">
        <v>1012.483169</v>
      </c>
      <c r="O70" s="237">
        <v>1005.090735</v>
      </c>
      <c r="P70" s="237">
        <v>1040.4481976612078</v>
      </c>
      <c r="Q70" s="237">
        <v>912.70274167462037</v>
      </c>
      <c r="R70" s="237">
        <v>960.5610051832092</v>
      </c>
      <c r="S70" s="237">
        <v>1113.1686020771194</v>
      </c>
      <c r="T70" s="237">
        <v>519.18930402798094</v>
      </c>
      <c r="U70" s="237">
        <v>511.75093748094889</v>
      </c>
      <c r="V70" s="237">
        <v>800.69198000599738</v>
      </c>
      <c r="W70" s="237">
        <v>656.71678126198901</v>
      </c>
      <c r="X70" s="237">
        <v>679.00083524610125</v>
      </c>
      <c r="Y70" s="237">
        <f t="shared" si="62"/>
        <v>952.3478053895293</v>
      </c>
      <c r="Z70" s="237"/>
      <c r="AA70" s="237"/>
      <c r="AB70" s="237">
        <v>302.65872534456929</v>
      </c>
      <c r="AC70" s="237">
        <v>436.75865448496864</v>
      </c>
      <c r="AD70" s="237">
        <v>945.57982457835158</v>
      </c>
      <c r="AE70" s="237">
        <v>952.3478053895293</v>
      </c>
      <c r="AF70" s="237">
        <v>354.28337189616866</v>
      </c>
      <c r="AG70" s="237"/>
      <c r="AH70" s="237"/>
      <c r="AI70" s="237"/>
      <c r="AK70" s="237">
        <f t="shared" si="63"/>
        <v>302.65872534456929</v>
      </c>
      <c r="AL70" s="237">
        <f t="shared" si="66"/>
        <v>134.09992914039935</v>
      </c>
      <c r="AM70" s="237">
        <f t="shared" si="67"/>
        <v>508.82117009338293</v>
      </c>
      <c r="AN70" s="237">
        <f t="shared" si="68"/>
        <v>6.767980811177722</v>
      </c>
      <c r="AO70" s="237">
        <f t="shared" si="64"/>
        <v>354.28337189616866</v>
      </c>
      <c r="AP70" s="237"/>
      <c r="AQ70" s="237"/>
      <c r="AR70" s="237"/>
      <c r="AT70" s="64"/>
    </row>
    <row r="71" spans="2:46" ht="15" customHeight="1" x14ac:dyDescent="0.25">
      <c r="B71" t="s">
        <v>361</v>
      </c>
      <c r="C71" s="237" t="str">
        <f t="shared" ref="C71:U71" si="69">IFERROR(C70-C72,"-")</f>
        <v>-</v>
      </c>
      <c r="D71" s="237" t="str">
        <f t="shared" si="69"/>
        <v>-</v>
      </c>
      <c r="E71" s="237" t="str">
        <f t="shared" si="69"/>
        <v>-</v>
      </c>
      <c r="F71" s="237" t="str">
        <f t="shared" si="69"/>
        <v>-</v>
      </c>
      <c r="G71" s="237" t="str">
        <f t="shared" si="69"/>
        <v>-</v>
      </c>
      <c r="H71" s="237" t="str">
        <f t="shared" si="69"/>
        <v>-</v>
      </c>
      <c r="I71" s="237" t="str">
        <f t="shared" si="69"/>
        <v>-</v>
      </c>
      <c r="J71" s="237" t="str">
        <f t="shared" si="69"/>
        <v>-</v>
      </c>
      <c r="K71" s="237" t="str">
        <f t="shared" si="69"/>
        <v>-</v>
      </c>
      <c r="L71" s="237" t="str">
        <f t="shared" si="69"/>
        <v>-</v>
      </c>
      <c r="M71" s="237" t="str">
        <f t="shared" si="69"/>
        <v>-</v>
      </c>
      <c r="N71" s="237" t="str">
        <f t="shared" si="69"/>
        <v>-</v>
      </c>
      <c r="O71" s="237" t="str">
        <f t="shared" si="69"/>
        <v>-</v>
      </c>
      <c r="P71" s="237" t="str">
        <f t="shared" si="69"/>
        <v>-</v>
      </c>
      <c r="Q71" s="237">
        <f t="shared" si="69"/>
        <v>163.70274167462037</v>
      </c>
      <c r="R71" s="237">
        <f>IFERROR(R70-R72,"-")</f>
        <v>41.561005183209204</v>
      </c>
      <c r="S71" s="237">
        <f>IFERROR(S70-S72,"-")</f>
        <v>268.16860207711943</v>
      </c>
      <c r="T71" s="237">
        <f t="shared" si="69"/>
        <v>-277.72170712181787</v>
      </c>
      <c r="U71" s="237">
        <f t="shared" si="69"/>
        <v>-342.12830854078823</v>
      </c>
      <c r="V71" s="237">
        <f>IFERROR(V70-V72,"-")</f>
        <v>21.180052692574691</v>
      </c>
      <c r="W71" s="237">
        <f>IFERROR(W70-W72,"-")</f>
        <v>-168.87625510779867</v>
      </c>
      <c r="X71" s="237">
        <f>IFERROR(X70-X72,"-")</f>
        <v>-192.14244456719996</v>
      </c>
      <c r="Y71" s="237">
        <f>IFERROR(Y70-Y72,"-")</f>
        <v>-322.16218434365476</v>
      </c>
      <c r="Z71" s="237"/>
      <c r="AA71" s="237"/>
      <c r="AB71" s="237">
        <f t="shared" ref="AB71" si="70">IFERROR(AB70-AB72,"-")</f>
        <v>4.5304755287020271E-2</v>
      </c>
      <c r="AC71" s="237">
        <f>IFERROR(AC70-AC72,"-")</f>
        <v>-80.036923429800993</v>
      </c>
      <c r="AD71" s="237">
        <f>IFERROR(AD70-AD72,"-")</f>
        <v>-80.03692342980014</v>
      </c>
      <c r="AE71" s="237">
        <f>IFERROR(AE70-AE72,"-")</f>
        <v>-322.16218434365476</v>
      </c>
      <c r="AF71" s="237">
        <f t="shared" ref="AF71" si="71">IFERROR(AF70-AF72,"-")</f>
        <v>-13.748406814898715</v>
      </c>
      <c r="AG71" s="237"/>
      <c r="AH71" s="237"/>
      <c r="AI71" s="237"/>
      <c r="AK71" s="237">
        <f t="shared" si="63"/>
        <v>4.5304755287020271E-2</v>
      </c>
      <c r="AL71" s="237">
        <f t="shared" si="66"/>
        <v>-80.082228185088013</v>
      </c>
      <c r="AM71" s="237">
        <f t="shared" si="67"/>
        <v>8.5265128291212022E-13</v>
      </c>
      <c r="AN71" s="237">
        <f t="shared" si="68"/>
        <v>-242.12526091385462</v>
      </c>
      <c r="AO71" s="237">
        <f t="shared" si="64"/>
        <v>-13.748406814898715</v>
      </c>
      <c r="AP71" s="237"/>
      <c r="AQ71" s="237"/>
      <c r="AR71" s="237"/>
      <c r="AT71" s="203"/>
    </row>
    <row r="72" spans="2:46" ht="15" customHeight="1" x14ac:dyDescent="0.25">
      <c r="B72" s="2" t="s">
        <v>251</v>
      </c>
      <c r="C72" s="250" t="s">
        <v>17</v>
      </c>
      <c r="D72" s="250" t="s">
        <v>17</v>
      </c>
      <c r="E72" s="250" t="s">
        <v>17</v>
      </c>
      <c r="F72" s="250" t="s">
        <v>17</v>
      </c>
      <c r="G72" s="250" t="s">
        <v>17</v>
      </c>
      <c r="H72" s="250" t="s">
        <v>17</v>
      </c>
      <c r="I72" s="250" t="s">
        <v>17</v>
      </c>
      <c r="J72" s="250" t="s">
        <v>17</v>
      </c>
      <c r="K72" s="250" t="s">
        <v>17</v>
      </c>
      <c r="L72" s="250" t="s">
        <v>17</v>
      </c>
      <c r="M72" s="250" t="s">
        <v>17</v>
      </c>
      <c r="N72" s="250" t="s">
        <v>17</v>
      </c>
      <c r="O72" s="250" t="s">
        <v>17</v>
      </c>
      <c r="P72" s="250" t="s">
        <v>17</v>
      </c>
      <c r="Q72" s="244">
        <v>749</v>
      </c>
      <c r="R72" s="244">
        <v>919</v>
      </c>
      <c r="S72" s="244">
        <v>845</v>
      </c>
      <c r="T72" s="244">
        <v>796.91101114979881</v>
      </c>
      <c r="U72" s="244">
        <v>853.87924602173712</v>
      </c>
      <c r="V72" s="244">
        <v>779.51192731342269</v>
      </c>
      <c r="W72" s="244">
        <v>825.59303636978768</v>
      </c>
      <c r="X72" s="244">
        <v>871.14327981330121</v>
      </c>
      <c r="Y72" s="244">
        <f>AE72</f>
        <v>1274.5099897331841</v>
      </c>
      <c r="Z72" s="244"/>
      <c r="AA72" s="237"/>
      <c r="AB72" s="244">
        <v>302.61342058928227</v>
      </c>
      <c r="AC72" s="244">
        <v>516.79557791476964</v>
      </c>
      <c r="AD72" s="244">
        <v>1025.6167480081517</v>
      </c>
      <c r="AE72" s="244">
        <v>1274.5099897331841</v>
      </c>
      <c r="AF72" s="244">
        <v>368.03177871106737</v>
      </c>
      <c r="AG72" s="244"/>
      <c r="AH72" s="244"/>
      <c r="AI72" s="244"/>
      <c r="AJ72" s="251"/>
      <c r="AK72" s="244">
        <f t="shared" si="63"/>
        <v>302.61342058928227</v>
      </c>
      <c r="AL72" s="244">
        <f t="shared" si="66"/>
        <v>214.18215732548737</v>
      </c>
      <c r="AM72" s="244">
        <f t="shared" si="67"/>
        <v>508.82117009338208</v>
      </c>
      <c r="AN72" s="244">
        <f t="shared" si="68"/>
        <v>248.89324172503234</v>
      </c>
      <c r="AO72" s="244">
        <f t="shared" si="64"/>
        <v>368.03177871106737</v>
      </c>
      <c r="AP72" s="244"/>
      <c r="AQ72" s="244"/>
      <c r="AR72" s="244"/>
      <c r="AT72" s="64"/>
    </row>
    <row r="73" spans="2:46" s="209" customFormat="1" ht="15" customHeight="1" x14ac:dyDescent="0.25">
      <c r="B73" s="510" t="s">
        <v>18</v>
      </c>
      <c r="C73" s="511" t="str">
        <f t="shared" ref="C73:P73" si="72">IFERROR(C72/B72-1,"-")</f>
        <v>-</v>
      </c>
      <c r="D73" s="511" t="str">
        <f t="shared" si="72"/>
        <v>-</v>
      </c>
      <c r="E73" s="511" t="str">
        <f t="shared" si="72"/>
        <v>-</v>
      </c>
      <c r="F73" s="511" t="str">
        <f t="shared" si="72"/>
        <v>-</v>
      </c>
      <c r="G73" s="511" t="str">
        <f t="shared" si="72"/>
        <v>-</v>
      </c>
      <c r="H73" s="511" t="str">
        <f t="shared" si="72"/>
        <v>-</v>
      </c>
      <c r="I73" s="511" t="str">
        <f t="shared" si="72"/>
        <v>-</v>
      </c>
      <c r="J73" s="511" t="str">
        <f t="shared" si="72"/>
        <v>-</v>
      </c>
      <c r="K73" s="511" t="str">
        <f t="shared" si="72"/>
        <v>-</v>
      </c>
      <c r="L73" s="511" t="str">
        <f t="shared" si="72"/>
        <v>-</v>
      </c>
      <c r="M73" s="511" t="str">
        <f t="shared" si="72"/>
        <v>-</v>
      </c>
      <c r="N73" s="511" t="str">
        <f t="shared" si="72"/>
        <v>-</v>
      </c>
      <c r="O73" s="511" t="str">
        <f t="shared" si="72"/>
        <v>-</v>
      </c>
      <c r="P73" s="511" t="str">
        <f t="shared" si="72"/>
        <v>-</v>
      </c>
      <c r="Q73" s="511" t="str">
        <f t="shared" ref="Q73" si="73">IFERROR(Q72/P72-1,"-")</f>
        <v>-</v>
      </c>
      <c r="R73" s="511">
        <f t="shared" ref="R73" si="74">IFERROR(R72/Q72-1,"-")</f>
        <v>0.22696929238985319</v>
      </c>
      <c r="S73" s="511">
        <f t="shared" ref="S73" si="75">IFERROR(S72/R72-1,"-")</f>
        <v>-8.0522306855277503E-2</v>
      </c>
      <c r="T73" s="511">
        <f t="shared" ref="T73" si="76">IFERROR(T72/S72-1,"-")</f>
        <v>-5.6910045976569457E-2</v>
      </c>
      <c r="U73" s="511">
        <f t="shared" ref="U73" si="77">IFERROR(U72/T72-1,"-")</f>
        <v>7.1486319143392762E-2</v>
      </c>
      <c r="V73" s="511">
        <f t="shared" ref="V73" si="78">IFERROR(V72/U72-1,"-")</f>
        <v>-8.7093484300965529E-2</v>
      </c>
      <c r="W73" s="245">
        <f t="shared" ref="W73:X73" si="79">IFERROR(W72/V72-1,"-")</f>
        <v>5.9115335431983551E-2</v>
      </c>
      <c r="X73" s="245">
        <f t="shared" si="79"/>
        <v>5.5172756354392671E-2</v>
      </c>
      <c r="Y73" s="245">
        <f>IFERROR(Y72/X72-1,"-")</f>
        <v>0.4630314200510508</v>
      </c>
      <c r="Z73" s="245"/>
      <c r="AA73" s="404"/>
      <c r="AB73" s="245" t="str">
        <f>IFERROR(AB72/#REF!-1,"-")</f>
        <v>-</v>
      </c>
      <c r="AC73" s="245" t="str">
        <f>IFERROR(AC72/#REF!-1,"-")</f>
        <v>-</v>
      </c>
      <c r="AD73" s="245" t="str">
        <f>IFERROR(AD72/#REF!-1,"-")</f>
        <v>-</v>
      </c>
      <c r="AE73" s="245" t="str">
        <f>IFERROR(AE72/#REF!-1,"-")</f>
        <v>-</v>
      </c>
      <c r="AF73" s="245">
        <f>IFERROR(AF72/AB72-1,"-")</f>
        <v>0.21617798045570891</v>
      </c>
      <c r="AG73" s="245"/>
      <c r="AH73" s="245"/>
      <c r="AI73" s="245"/>
      <c r="AJ73" s="333"/>
      <c r="AK73" s="245" t="str">
        <f>IFERROR(AK72/#REF!-1,"-")</f>
        <v>-</v>
      </c>
      <c r="AL73" s="245" t="str">
        <f>IFERROR(AL72/#REF!-1,"-")</f>
        <v>-</v>
      </c>
      <c r="AM73" s="245" t="str">
        <f>IFERROR(AM72/#REF!-1,"-")</f>
        <v>-</v>
      </c>
      <c r="AN73" s="245" t="str">
        <f>IFERROR(AN72/#REF!-1,"-")</f>
        <v>-</v>
      </c>
      <c r="AO73" s="245">
        <f>IFERROR(AO72/AK72-1,"-")</f>
        <v>0.21617798045570891</v>
      </c>
      <c r="AP73" s="245"/>
      <c r="AQ73" s="245"/>
      <c r="AR73" s="245"/>
      <c r="AS73" s="333"/>
      <c r="AT73" s="203"/>
    </row>
    <row r="74" spans="2:46" ht="15" customHeight="1" x14ac:dyDescent="0.25">
      <c r="B74" s="15"/>
      <c r="C74" s="252"/>
      <c r="D74" s="252"/>
      <c r="E74" s="252"/>
      <c r="F74" s="252"/>
      <c r="G74" s="252"/>
      <c r="H74" s="252"/>
      <c r="I74" s="252"/>
      <c r="J74" s="252"/>
      <c r="K74" s="252"/>
      <c r="L74" s="252"/>
      <c r="M74" s="252"/>
      <c r="N74" s="252"/>
      <c r="O74" s="252"/>
      <c r="P74" s="252"/>
      <c r="Q74" s="253"/>
      <c r="R74" s="253"/>
      <c r="S74" s="253"/>
      <c r="T74" s="253"/>
      <c r="U74" s="253"/>
      <c r="AA74" s="237"/>
    </row>
    <row r="75" spans="2:46" ht="15" customHeight="1" x14ac:dyDescent="0.25">
      <c r="B75" s="200" t="s">
        <v>25</v>
      </c>
      <c r="C75" s="254" t="s">
        <v>17</v>
      </c>
      <c r="D75" s="254" t="s">
        <v>17</v>
      </c>
      <c r="E75" s="254" t="s">
        <v>17</v>
      </c>
      <c r="F75" s="254" t="s">
        <v>17</v>
      </c>
      <c r="G75" s="254" t="s">
        <v>17</v>
      </c>
      <c r="H75" s="254" t="s">
        <v>17</v>
      </c>
      <c r="I75" s="254" t="s">
        <v>17</v>
      </c>
      <c r="J75" s="254" t="s">
        <v>17</v>
      </c>
      <c r="K75" s="255">
        <v>3656.5377149999999</v>
      </c>
      <c r="L75" s="255">
        <v>3656.5377149999999</v>
      </c>
      <c r="M75" s="255">
        <v>3656.5377149999999</v>
      </c>
      <c r="N75" s="255">
        <v>3656.5377149999999</v>
      </c>
      <c r="O75" s="255">
        <v>3656.5377149999999</v>
      </c>
      <c r="P75" s="255">
        <v>3656.5377149999999</v>
      </c>
      <c r="Q75" s="255">
        <v>3656.5377149999999</v>
      </c>
      <c r="R75" s="255">
        <v>3656.5377149999999</v>
      </c>
      <c r="S75" s="255">
        <v>3656.5377149999999</v>
      </c>
      <c r="T75" s="255">
        <v>3656.5377149999999</v>
      </c>
      <c r="U75" s="255">
        <v>3656.5377149999999</v>
      </c>
      <c r="V75" s="255">
        <v>3965.681012</v>
      </c>
      <c r="W75" s="255">
        <v>3965.681012</v>
      </c>
      <c r="X75" s="255">
        <v>3965.681012</v>
      </c>
      <c r="Y75" s="255">
        <v>4184.0209999999997</v>
      </c>
      <c r="Z75" s="255"/>
      <c r="AA75" s="237"/>
      <c r="AB75" s="255">
        <v>4184.0209999999997</v>
      </c>
      <c r="AC75" s="255">
        <v>4184.0209999999997</v>
      </c>
      <c r="AD75" s="255">
        <v>4184.0209999999997</v>
      </c>
      <c r="AE75" s="255">
        <v>4184.0209999999997</v>
      </c>
      <c r="AF75" s="255">
        <v>4184.021624</v>
      </c>
      <c r="AG75" s="255"/>
      <c r="AH75" s="255"/>
      <c r="AI75" s="255"/>
    </row>
    <row r="76" spans="2:46" ht="15" customHeight="1" x14ac:dyDescent="0.25">
      <c r="B76" s="199" t="s">
        <v>26</v>
      </c>
      <c r="C76" s="256" t="s">
        <v>17</v>
      </c>
      <c r="D76" s="256" t="s">
        <v>17</v>
      </c>
      <c r="E76" s="256" t="s">
        <v>17</v>
      </c>
      <c r="F76" s="256" t="s">
        <v>17</v>
      </c>
      <c r="G76" s="256" t="s">
        <v>17</v>
      </c>
      <c r="H76" s="256" t="s">
        <v>17</v>
      </c>
      <c r="I76" s="256" t="s">
        <v>17</v>
      </c>
      <c r="J76" s="256" t="s">
        <v>17</v>
      </c>
      <c r="K76" s="257">
        <v>0.155</v>
      </c>
      <c r="L76" s="257">
        <v>0.17</v>
      </c>
      <c r="M76" s="257">
        <v>0.185</v>
      </c>
      <c r="N76" s="257">
        <v>0.185</v>
      </c>
      <c r="O76" s="257">
        <v>0.185</v>
      </c>
      <c r="P76" s="257">
        <v>0.185</v>
      </c>
      <c r="Q76" s="257">
        <v>0.185</v>
      </c>
      <c r="R76" s="257">
        <v>0.19</v>
      </c>
      <c r="S76" s="257">
        <v>0.19</v>
      </c>
      <c r="T76" s="257">
        <v>0.19</v>
      </c>
      <c r="U76" s="257">
        <v>0.19</v>
      </c>
      <c r="V76" s="257">
        <v>0.19</v>
      </c>
      <c r="W76" s="258">
        <v>0.19</v>
      </c>
      <c r="X76" s="258">
        <v>0.19</v>
      </c>
      <c r="Y76" s="258">
        <f>X76</f>
        <v>0.19</v>
      </c>
      <c r="Z76" s="258"/>
      <c r="AA76" s="237"/>
      <c r="AB76" s="259" t="s">
        <v>17</v>
      </c>
      <c r="AC76" s="259" t="s">
        <v>17</v>
      </c>
      <c r="AD76" s="259" t="s">
        <v>17</v>
      </c>
      <c r="AE76" s="259">
        <f>Y76</f>
        <v>0.19</v>
      </c>
      <c r="AF76" s="259" t="s">
        <v>17</v>
      </c>
      <c r="AG76" s="259"/>
      <c r="AH76" s="259"/>
      <c r="AI76" s="259"/>
    </row>
    <row r="77" spans="2:46" ht="15" customHeight="1" x14ac:dyDescent="0.25">
      <c r="B77" s="198"/>
      <c r="C77" s="238"/>
      <c r="D77" s="238"/>
      <c r="E77" s="238"/>
      <c r="F77" s="238"/>
      <c r="G77" s="238"/>
      <c r="H77" s="238"/>
      <c r="I77" s="238"/>
      <c r="J77" s="238"/>
      <c r="K77" s="235"/>
      <c r="L77" s="235"/>
      <c r="M77" s="235"/>
      <c r="N77" s="235"/>
      <c r="O77" s="235"/>
      <c r="P77" s="235"/>
      <c r="Q77" s="235"/>
      <c r="R77" s="235"/>
      <c r="S77" s="235"/>
      <c r="T77" s="235"/>
      <c r="U77" s="235"/>
      <c r="V77" s="235"/>
    </row>
    <row r="78" spans="2:46" ht="15" customHeight="1" x14ac:dyDescent="0.25">
      <c r="B78" s="5"/>
      <c r="C78" s="262"/>
      <c r="D78" s="262"/>
      <c r="E78" s="262"/>
      <c r="F78" s="262"/>
      <c r="G78" s="262"/>
      <c r="H78" s="262"/>
      <c r="I78" s="262"/>
      <c r="J78" s="262"/>
      <c r="K78" s="262"/>
      <c r="L78" s="262"/>
      <c r="M78" s="262"/>
      <c r="N78" s="262"/>
      <c r="O78" s="262"/>
      <c r="P78" s="262"/>
      <c r="Q78" s="260"/>
      <c r="R78" s="260"/>
      <c r="S78" s="260"/>
      <c r="T78" s="260"/>
      <c r="U78" s="260"/>
      <c r="AS78"/>
    </row>
    <row r="79" spans="2:46" ht="15" customHeight="1" x14ac:dyDescent="0.25">
      <c r="B79" s="24"/>
      <c r="C79" s="263"/>
      <c r="D79" s="263"/>
      <c r="E79" s="263"/>
      <c r="F79" s="263"/>
      <c r="G79" s="263"/>
      <c r="H79" s="263"/>
      <c r="I79" s="263"/>
      <c r="J79" s="263"/>
      <c r="K79" s="263"/>
      <c r="L79" s="263"/>
      <c r="M79" s="263"/>
      <c r="N79" s="263"/>
      <c r="O79" s="263"/>
      <c r="P79" s="263"/>
      <c r="Q79" s="260"/>
      <c r="R79" s="260"/>
      <c r="S79" s="260"/>
      <c r="T79" s="260"/>
      <c r="U79" s="260"/>
    </row>
    <row r="80" spans="2:46" ht="15" customHeight="1" x14ac:dyDescent="0.25">
      <c r="B80" s="24"/>
      <c r="C80" s="263"/>
      <c r="D80" s="263"/>
      <c r="E80" s="263"/>
      <c r="F80" s="263"/>
      <c r="G80" s="263"/>
      <c r="H80" s="263"/>
      <c r="I80" s="263"/>
      <c r="J80" s="263"/>
      <c r="K80" s="263"/>
      <c r="L80" s="263"/>
      <c r="M80" s="263"/>
      <c r="N80" s="263"/>
      <c r="O80" s="263"/>
      <c r="P80" s="263"/>
      <c r="Q80" s="253"/>
      <c r="R80" s="253"/>
      <c r="S80" s="253"/>
      <c r="T80" s="253"/>
      <c r="U80" s="253"/>
    </row>
    <row r="81" spans="2:21" ht="15" customHeight="1" x14ac:dyDescent="0.25">
      <c r="B81" s="2"/>
      <c r="C81" s="264"/>
      <c r="D81" s="264"/>
      <c r="E81" s="264"/>
      <c r="F81" s="264"/>
      <c r="G81" s="264"/>
      <c r="H81" s="264"/>
      <c r="I81" s="264"/>
      <c r="J81" s="264"/>
      <c r="K81" s="264"/>
      <c r="L81" s="264"/>
      <c r="M81" s="264"/>
      <c r="N81" s="264"/>
      <c r="O81" s="264"/>
      <c r="P81" s="264"/>
      <c r="Q81" s="261"/>
      <c r="R81" s="261"/>
      <c r="S81" s="261"/>
      <c r="T81" s="261"/>
      <c r="U81" s="261"/>
    </row>
    <row r="82" spans="2:21" ht="15" customHeight="1" x14ac:dyDescent="0.25">
      <c r="B82" s="5"/>
      <c r="C82" s="262"/>
      <c r="D82" s="262"/>
      <c r="E82" s="262"/>
      <c r="F82" s="262"/>
      <c r="G82" s="262"/>
      <c r="H82" s="262"/>
      <c r="I82" s="262"/>
      <c r="J82" s="262"/>
      <c r="K82" s="262"/>
      <c r="L82" s="262"/>
      <c r="M82" s="262"/>
      <c r="N82" s="262"/>
      <c r="O82" s="262"/>
      <c r="P82" s="262"/>
      <c r="Q82" s="260"/>
      <c r="R82" s="260"/>
      <c r="S82" s="260"/>
      <c r="T82" s="260"/>
      <c r="U82" s="260"/>
    </row>
    <row r="83" spans="2:21" ht="15" customHeight="1" x14ac:dyDescent="0.25">
      <c r="B83" s="13"/>
      <c r="C83" s="265"/>
      <c r="D83" s="265"/>
      <c r="E83" s="265"/>
      <c r="F83" s="265"/>
      <c r="G83" s="265"/>
      <c r="H83" s="265"/>
      <c r="I83" s="265"/>
      <c r="J83" s="265"/>
      <c r="K83" s="265"/>
      <c r="L83" s="265"/>
      <c r="M83" s="265"/>
      <c r="N83" s="265"/>
      <c r="O83" s="265"/>
      <c r="P83" s="265"/>
      <c r="Q83" s="253"/>
      <c r="R83" s="253"/>
      <c r="S83" s="253"/>
      <c r="T83" s="253"/>
      <c r="U83" s="253"/>
    </row>
    <row r="84" spans="2:21" ht="15" customHeight="1" x14ac:dyDescent="0.25">
      <c r="B84" s="13"/>
      <c r="C84" s="265"/>
      <c r="D84" s="265"/>
      <c r="E84" s="265"/>
      <c r="F84" s="265"/>
      <c r="G84" s="265"/>
      <c r="H84" s="265"/>
      <c r="I84" s="265"/>
      <c r="J84" s="265"/>
      <c r="K84" s="265"/>
      <c r="L84" s="265"/>
      <c r="M84" s="265"/>
      <c r="N84" s="265"/>
      <c r="O84" s="265"/>
      <c r="P84" s="265"/>
      <c r="Q84" s="253"/>
      <c r="R84" s="253"/>
      <c r="S84" s="253"/>
      <c r="T84" s="253"/>
      <c r="U84" s="253"/>
    </row>
    <row r="85" spans="2:21" ht="15" customHeight="1" x14ac:dyDescent="0.25">
      <c r="B85" s="5"/>
      <c r="C85" s="262"/>
      <c r="D85" s="262"/>
      <c r="E85" s="262"/>
      <c r="F85" s="262"/>
      <c r="G85" s="262"/>
      <c r="H85" s="262"/>
      <c r="I85" s="262"/>
      <c r="J85" s="262"/>
      <c r="K85" s="262"/>
      <c r="L85" s="262"/>
      <c r="M85" s="262"/>
      <c r="N85" s="262"/>
      <c r="O85" s="262"/>
      <c r="P85" s="262"/>
      <c r="Q85" s="260"/>
      <c r="R85" s="260"/>
      <c r="S85" s="260"/>
      <c r="T85" s="260"/>
      <c r="U85" s="260"/>
    </row>
    <row r="86" spans="2:21" ht="15" customHeight="1" x14ac:dyDescent="0.25">
      <c r="B86" s="10"/>
      <c r="C86" s="266"/>
      <c r="D86" s="266"/>
      <c r="E86" s="266"/>
      <c r="F86" s="266"/>
      <c r="G86" s="266"/>
      <c r="H86" s="266"/>
      <c r="I86" s="266"/>
      <c r="J86" s="266"/>
      <c r="K86" s="266"/>
      <c r="L86" s="266"/>
      <c r="M86" s="266"/>
      <c r="N86" s="266"/>
      <c r="O86" s="266"/>
      <c r="P86" s="266"/>
      <c r="Q86" s="260"/>
      <c r="R86" s="260"/>
      <c r="S86" s="260"/>
      <c r="T86" s="260"/>
      <c r="U86" s="260"/>
    </row>
  </sheetData>
  <pageMargins left="0.7" right="0.7" top="0.75" bottom="0.75" header="0.3" footer="0.3"/>
  <pageSetup paperSize="9" orientation="portrait" r:id="rId1"/>
  <customProperties>
    <customPr name="EpmWorksheetKeyString_GUID" r:id="rId2"/>
  </customPropertie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tabColor rgb="FF8CA7AF"/>
  </sheetPr>
  <dimension ref="A1:AU95"/>
  <sheetViews>
    <sheetView showGridLines="0" zoomScale="75" zoomScaleNormal="75" workbookViewId="0">
      <pane xSplit="6" ySplit="3" topLeftCell="P72" activePane="bottomRight" state="frozen"/>
      <selection activeCell="B2" sqref="B2"/>
      <selection pane="topRight" activeCell="B2" sqref="B2"/>
      <selection pane="bottomLeft" activeCell="B2" sqref="B2"/>
      <selection pane="bottomRight" activeCell="A81" sqref="A81:XFD100"/>
    </sheetView>
  </sheetViews>
  <sheetFormatPr defaultColWidth="10.5703125" defaultRowHeight="15" outlineLevelRow="1" x14ac:dyDescent="0.25"/>
  <cols>
    <col min="1" max="1" width="5.5703125" customWidth="1"/>
    <col min="2" max="2" width="38.42578125" customWidth="1"/>
    <col min="3" max="6" width="0" hidden="1" customWidth="1"/>
    <col min="7" max="44" width="10.5703125" style="223"/>
  </cols>
  <sheetData>
    <row r="1" spans="2:35" ht="5.0999999999999996" customHeight="1" x14ac:dyDescent="0.25">
      <c r="Q1" s="236"/>
      <c r="R1" s="236"/>
      <c r="S1" s="236"/>
      <c r="T1" s="236"/>
      <c r="U1" s="236"/>
      <c r="V1" s="236"/>
      <c r="W1" s="60"/>
      <c r="X1" s="60"/>
      <c r="Y1" s="60"/>
      <c r="Z1" s="60"/>
      <c r="AA1" s="236"/>
    </row>
    <row r="2" spans="2:35" ht="30" customHeight="1" x14ac:dyDescent="0.25">
      <c r="B2" s="170" t="s">
        <v>27</v>
      </c>
      <c r="C2" s="208"/>
      <c r="D2" s="208"/>
      <c r="E2" s="208"/>
      <c r="F2" s="208"/>
      <c r="G2" s="267"/>
      <c r="H2" s="267"/>
      <c r="I2" s="267"/>
      <c r="J2" s="224"/>
      <c r="K2" s="224"/>
      <c r="L2" s="224"/>
      <c r="M2" s="225"/>
      <c r="N2" s="225"/>
      <c r="O2" s="226"/>
      <c r="P2" s="225"/>
      <c r="U2" s="227"/>
      <c r="V2" s="227"/>
      <c r="AA2" s="227"/>
    </row>
    <row r="3" spans="2:35" x14ac:dyDescent="0.25">
      <c r="B3" s="166" t="s">
        <v>362</v>
      </c>
      <c r="C3" s="61">
        <v>2001</v>
      </c>
      <c r="D3" s="61">
        <v>2002</v>
      </c>
      <c r="E3" s="61">
        <v>2003</v>
      </c>
      <c r="F3" s="61">
        <v>2004</v>
      </c>
      <c r="G3" s="228">
        <v>2005</v>
      </c>
      <c r="H3" s="228">
        <v>2006</v>
      </c>
      <c r="I3" s="228">
        <v>2007</v>
      </c>
      <c r="J3" s="228">
        <v>2008</v>
      </c>
      <c r="K3" s="228">
        <v>2009</v>
      </c>
      <c r="L3" s="228">
        <v>2010</v>
      </c>
      <c r="M3" s="228">
        <v>2011</v>
      </c>
      <c r="N3" s="228">
        <v>2012</v>
      </c>
      <c r="O3" s="228">
        <v>2013</v>
      </c>
      <c r="P3" s="228">
        <v>2014</v>
      </c>
      <c r="Q3" s="228">
        <v>2015</v>
      </c>
      <c r="R3" s="228">
        <v>2016</v>
      </c>
      <c r="S3" s="228">
        <v>2017</v>
      </c>
      <c r="T3" s="228">
        <v>2018</v>
      </c>
      <c r="U3" s="228">
        <v>2019</v>
      </c>
      <c r="V3" s="228">
        <v>2020</v>
      </c>
      <c r="W3" s="228">
        <v>2021</v>
      </c>
      <c r="X3" s="228">
        <v>2022</v>
      </c>
      <c r="Y3" s="229">
        <v>2023</v>
      </c>
      <c r="Z3" s="230">
        <v>2024</v>
      </c>
      <c r="AB3" s="231" t="s">
        <v>291</v>
      </c>
      <c r="AC3" s="231" t="s">
        <v>292</v>
      </c>
      <c r="AD3" s="231" t="s">
        <v>293</v>
      </c>
      <c r="AE3" s="231">
        <v>2023</v>
      </c>
      <c r="AF3" s="232" t="s">
        <v>318</v>
      </c>
      <c r="AG3" s="232" t="s">
        <v>319</v>
      </c>
      <c r="AH3" s="232" t="s">
        <v>320</v>
      </c>
      <c r="AI3" s="232">
        <v>2024</v>
      </c>
    </row>
    <row r="4" spans="2:35" x14ac:dyDescent="0.25">
      <c r="B4" s="3" t="s">
        <v>363</v>
      </c>
      <c r="C4" s="103" t="s">
        <v>17</v>
      </c>
      <c r="D4" s="103" t="s">
        <v>17</v>
      </c>
      <c r="E4" s="103" t="s">
        <v>17</v>
      </c>
      <c r="F4" s="103" t="s">
        <v>17</v>
      </c>
      <c r="G4" s="253">
        <v>13891.377757999999</v>
      </c>
      <c r="H4" s="253">
        <v>15081.727999999999</v>
      </c>
      <c r="I4" s="253">
        <v>18669.477210000001</v>
      </c>
      <c r="J4" s="253">
        <v>21125.562000000002</v>
      </c>
      <c r="K4" s="253">
        <v>24093.738000000001</v>
      </c>
      <c r="L4" s="253">
        <v>20323.582999999999</v>
      </c>
      <c r="M4" s="253">
        <v>20708.312999999998</v>
      </c>
      <c r="N4" s="253">
        <v>20905.34</v>
      </c>
      <c r="O4" s="253">
        <v>19454.098999999998</v>
      </c>
      <c r="P4" s="253">
        <v>20523.108</v>
      </c>
      <c r="Q4" s="253">
        <v>22773.716</v>
      </c>
      <c r="R4" s="253">
        <v>24193.736000000001</v>
      </c>
      <c r="S4" s="253">
        <v>22730.615000000002</v>
      </c>
      <c r="T4" s="253">
        <v>22707.510999999999</v>
      </c>
      <c r="U4" s="253">
        <v>19676.222000000002</v>
      </c>
      <c r="V4" s="253">
        <v>20390.294225000001</v>
      </c>
      <c r="W4" s="253">
        <v>21099.241246460995</v>
      </c>
      <c r="X4" s="253">
        <v>24216.806797019814</v>
      </c>
      <c r="Y4" s="253">
        <f t="shared" ref="Y4:Y14" si="0">AE4</f>
        <v>26078.762102817804</v>
      </c>
      <c r="Z4" s="253"/>
      <c r="AB4" s="253">
        <v>24762.783801361693</v>
      </c>
      <c r="AC4" s="253">
        <v>25448.844102210307</v>
      </c>
      <c r="AD4" s="253">
        <v>26061.258578444085</v>
      </c>
      <c r="AE4" s="253">
        <v>26078.762102817804</v>
      </c>
      <c r="AF4" s="253">
        <v>26592.304828392429</v>
      </c>
      <c r="AG4" s="253"/>
      <c r="AH4" s="253"/>
      <c r="AI4" s="253"/>
    </row>
    <row r="5" spans="2:35" x14ac:dyDescent="0.25">
      <c r="B5" s="4" t="s">
        <v>364</v>
      </c>
      <c r="C5" s="103" t="s">
        <v>17</v>
      </c>
      <c r="D5" s="103" t="s">
        <v>17</v>
      </c>
      <c r="E5" s="103" t="s">
        <v>17</v>
      </c>
      <c r="F5" s="103" t="s">
        <v>17</v>
      </c>
      <c r="G5" s="268" t="s">
        <v>17</v>
      </c>
      <c r="H5" s="268" t="s">
        <v>17</v>
      </c>
      <c r="I5" s="268" t="s">
        <v>17</v>
      </c>
      <c r="J5" s="268" t="s">
        <v>17</v>
      </c>
      <c r="K5" s="268" t="s">
        <v>17</v>
      </c>
      <c r="L5" s="268" t="s">
        <v>17</v>
      </c>
      <c r="M5" s="268" t="s">
        <v>17</v>
      </c>
      <c r="N5" s="268" t="s">
        <v>17</v>
      </c>
      <c r="O5" s="268" t="s">
        <v>17</v>
      </c>
      <c r="P5" s="268" t="s">
        <v>17</v>
      </c>
      <c r="Q5" s="268" t="s">
        <v>17</v>
      </c>
      <c r="R5" s="253" t="s">
        <v>17</v>
      </c>
      <c r="S5" s="268" t="s">
        <v>17</v>
      </c>
      <c r="T5" s="253">
        <v>0</v>
      </c>
      <c r="U5" s="253">
        <v>828.50300000000004</v>
      </c>
      <c r="V5" s="253">
        <v>1030.192901616</v>
      </c>
      <c r="W5" s="253">
        <v>1007.0285552459994</v>
      </c>
      <c r="X5" s="253">
        <v>1320.2697639606381</v>
      </c>
      <c r="Y5" s="253">
        <f t="shared" si="0"/>
        <v>1225.4303306947934</v>
      </c>
      <c r="Z5" s="253"/>
      <c r="AB5" s="253">
        <v>1301.680061757555</v>
      </c>
      <c r="AC5" s="253">
        <v>1283.8519116881787</v>
      </c>
      <c r="AD5" s="253">
        <v>1338.1681242199979</v>
      </c>
      <c r="AE5" s="253">
        <v>1225.4303306947934</v>
      </c>
      <c r="AF5" s="253">
        <v>1217.1817071067019</v>
      </c>
      <c r="AG5" s="253"/>
      <c r="AH5" s="253"/>
      <c r="AI5" s="253"/>
    </row>
    <row r="6" spans="2:35" x14ac:dyDescent="0.25">
      <c r="B6" s="15" t="s">
        <v>365</v>
      </c>
      <c r="C6" s="103" t="s">
        <v>17</v>
      </c>
      <c r="D6" s="103" t="s">
        <v>17</v>
      </c>
      <c r="E6" s="103" t="s">
        <v>17</v>
      </c>
      <c r="F6" s="103" t="s">
        <v>17</v>
      </c>
      <c r="G6" s="253">
        <v>3508.8281179999999</v>
      </c>
      <c r="H6" s="253">
        <v>3660.17577209</v>
      </c>
      <c r="I6" s="253">
        <v>5221.8322500000004</v>
      </c>
      <c r="J6" s="253">
        <v>5842.3</v>
      </c>
      <c r="K6" s="253">
        <v>5966.5460000000003</v>
      </c>
      <c r="L6" s="253">
        <v>9963.3179999999993</v>
      </c>
      <c r="M6" s="268">
        <v>6800.4780000000001</v>
      </c>
      <c r="N6" s="268">
        <v>6541.8620000000001</v>
      </c>
      <c r="O6" s="268">
        <v>6017.8019999999997</v>
      </c>
      <c r="P6" s="268">
        <v>5813.0259999999998</v>
      </c>
      <c r="Q6" s="253">
        <v>5524.634</v>
      </c>
      <c r="R6" s="253">
        <v>5128.5439999999999</v>
      </c>
      <c r="S6" s="253">
        <v>4747.3599999999997</v>
      </c>
      <c r="T6" s="253">
        <v>4736.53</v>
      </c>
      <c r="U6" s="253">
        <v>4223.8230000000003</v>
      </c>
      <c r="V6" s="253">
        <v>4998.2349636040008</v>
      </c>
      <c r="W6" s="253">
        <v>4915.0254681630022</v>
      </c>
      <c r="X6" s="253">
        <v>4984.002099715869</v>
      </c>
      <c r="Y6" s="253">
        <f t="shared" si="0"/>
        <v>4824.7734183326374</v>
      </c>
      <c r="Z6" s="253"/>
      <c r="AB6" s="253">
        <v>4974.5881673421227</v>
      </c>
      <c r="AC6" s="253">
        <v>4944.3061546835334</v>
      </c>
      <c r="AD6" s="253">
        <v>4878.1032266837819</v>
      </c>
      <c r="AE6" s="253">
        <v>4824.7734183326374</v>
      </c>
      <c r="AF6" s="253">
        <v>4849.0216026307471</v>
      </c>
      <c r="AG6" s="253"/>
      <c r="AH6" s="253"/>
      <c r="AI6" s="253"/>
    </row>
    <row r="7" spans="2:35" x14ac:dyDescent="0.25">
      <c r="B7" s="15" t="s">
        <v>366</v>
      </c>
      <c r="C7" s="103" t="s">
        <v>17</v>
      </c>
      <c r="D7" s="103" t="s">
        <v>17</v>
      </c>
      <c r="E7" s="103" t="s">
        <v>17</v>
      </c>
      <c r="F7" s="103" t="s">
        <v>17</v>
      </c>
      <c r="G7" s="268" t="s">
        <v>17</v>
      </c>
      <c r="H7" s="253" t="s">
        <v>17</v>
      </c>
      <c r="I7" s="268" t="s">
        <v>17</v>
      </c>
      <c r="J7" s="268" t="s">
        <v>17</v>
      </c>
      <c r="K7" s="268" t="s">
        <v>17</v>
      </c>
      <c r="L7" s="253">
        <v>590.83600000000001</v>
      </c>
      <c r="M7" s="253">
        <v>3327.2570000000001</v>
      </c>
      <c r="N7" s="253">
        <v>3318.4569999999999</v>
      </c>
      <c r="O7" s="253">
        <v>3253.1439999999998</v>
      </c>
      <c r="P7" s="253">
        <v>3321.2860000000001</v>
      </c>
      <c r="Q7" s="253">
        <v>3388.5880000000002</v>
      </c>
      <c r="R7" s="253">
        <v>3414.8519999999999</v>
      </c>
      <c r="S7" s="253">
        <v>2232.6680000000001</v>
      </c>
      <c r="T7" s="253">
        <v>2251.4609999999998</v>
      </c>
      <c r="U7" s="253">
        <v>2119.8620000000001</v>
      </c>
      <c r="V7" s="253">
        <v>2335.9635590000003</v>
      </c>
      <c r="W7" s="253">
        <v>2379.3863610339995</v>
      </c>
      <c r="X7" s="253">
        <v>3469.228418630501</v>
      </c>
      <c r="Y7" s="253">
        <f t="shared" si="0"/>
        <v>3378.8029219818691</v>
      </c>
      <c r="Z7" s="253"/>
      <c r="AB7" s="253">
        <v>3468.2900827666535</v>
      </c>
      <c r="AC7" s="253">
        <v>3422.5638414107639</v>
      </c>
      <c r="AD7" s="253">
        <v>3447.8222009557994</v>
      </c>
      <c r="AE7" s="253">
        <v>3378.8029219818691</v>
      </c>
      <c r="AF7" s="253">
        <v>3394.3639581664952</v>
      </c>
      <c r="AG7" s="253"/>
      <c r="AH7" s="253"/>
      <c r="AI7" s="253"/>
    </row>
    <row r="8" spans="2:35" x14ac:dyDescent="0.25">
      <c r="B8" s="15" t="s">
        <v>28</v>
      </c>
      <c r="C8" s="103" t="s">
        <v>17</v>
      </c>
      <c r="D8" s="103" t="s">
        <v>17</v>
      </c>
      <c r="E8" s="103" t="s">
        <v>17</v>
      </c>
      <c r="F8" s="103" t="s">
        <v>17</v>
      </c>
      <c r="G8" s="253">
        <v>917.74909899999989</v>
      </c>
      <c r="H8" s="253">
        <v>1016.465</v>
      </c>
      <c r="I8" s="253">
        <v>1015.6248399999999</v>
      </c>
      <c r="J8" s="253">
        <v>523.64099999999996</v>
      </c>
      <c r="K8" s="253">
        <v>618.38900000000001</v>
      </c>
      <c r="L8" s="253">
        <v>515.33199999999999</v>
      </c>
      <c r="M8" s="253">
        <v>533.755</v>
      </c>
      <c r="N8" s="253">
        <v>587.41999999999996</v>
      </c>
      <c r="O8" s="253">
        <v>1577.9580000000001</v>
      </c>
      <c r="P8" s="253">
        <v>1272.498</v>
      </c>
      <c r="Q8" s="253">
        <v>1028.0340000000001</v>
      </c>
      <c r="R8" s="253">
        <v>1546.9780000000001</v>
      </c>
      <c r="S8" s="253">
        <v>1235.777</v>
      </c>
      <c r="T8" s="253">
        <v>1087.825</v>
      </c>
      <c r="U8" s="253">
        <v>3525.2050000000004</v>
      </c>
      <c r="V8" s="253">
        <v>1147.3576763769943</v>
      </c>
      <c r="W8" s="253">
        <v>2241.1783684399934</v>
      </c>
      <c r="X8" s="253">
        <v>1924.0604555816471</v>
      </c>
      <c r="Y8" s="253">
        <f t="shared" si="0"/>
        <v>2933.3966214945094</v>
      </c>
      <c r="Z8" s="253"/>
      <c r="AB8" s="253">
        <v>1976.7830061019474</v>
      </c>
      <c r="AC8" s="253">
        <v>2791.1808002188122</v>
      </c>
      <c r="AD8" s="253">
        <v>3518.2817899446868</v>
      </c>
      <c r="AE8" s="253">
        <v>2933.3966214945094</v>
      </c>
      <c r="AF8" s="253">
        <v>2102.7379077323117</v>
      </c>
      <c r="AG8" s="253"/>
      <c r="AH8" s="253"/>
      <c r="AI8" s="253"/>
    </row>
    <row r="9" spans="2:35" x14ac:dyDescent="0.25">
      <c r="B9" s="16" t="s">
        <v>367</v>
      </c>
      <c r="C9" s="103" t="s">
        <v>17</v>
      </c>
      <c r="D9" s="103" t="s">
        <v>17</v>
      </c>
      <c r="E9" s="103" t="s">
        <v>17</v>
      </c>
      <c r="F9" s="103" t="s">
        <v>17</v>
      </c>
      <c r="G9" s="253">
        <v>892.65332100000001</v>
      </c>
      <c r="H9" s="253">
        <v>898.32299999999998</v>
      </c>
      <c r="I9" s="253">
        <v>757.82563000000005</v>
      </c>
      <c r="J9" s="253">
        <v>539.87800000000004</v>
      </c>
      <c r="K9" s="253">
        <v>661.33500000000004</v>
      </c>
      <c r="L9" s="253">
        <v>30.952000000000002</v>
      </c>
      <c r="M9" s="253">
        <v>1156.2329999999999</v>
      </c>
      <c r="N9" s="253">
        <v>776.44399999999996</v>
      </c>
      <c r="O9" s="253">
        <v>753.64200000000005</v>
      </c>
      <c r="P9" s="253">
        <v>590.4</v>
      </c>
      <c r="Q9" s="253">
        <v>587.36500000000001</v>
      </c>
      <c r="R9" s="253">
        <v>1398.9159999999999</v>
      </c>
      <c r="S9" s="253">
        <v>1329.021</v>
      </c>
      <c r="T9" s="253">
        <v>1559.98</v>
      </c>
      <c r="U9" s="253">
        <v>1888.8180000000002</v>
      </c>
      <c r="V9" s="253">
        <v>1872.6749620000001</v>
      </c>
      <c r="W9" s="253">
        <v>2234.7810106880006</v>
      </c>
      <c r="X9" s="253">
        <v>2708.4924717185977</v>
      </c>
      <c r="Y9" s="253">
        <f t="shared" si="0"/>
        <v>2362.2485171832695</v>
      </c>
      <c r="Z9" s="253"/>
      <c r="AB9" s="253">
        <v>2705.9663899583825</v>
      </c>
      <c r="AC9" s="253">
        <v>2702.9855970020913</v>
      </c>
      <c r="AD9" s="253">
        <v>2633.0933634344392</v>
      </c>
      <c r="AE9" s="253">
        <v>2362.2485171832695</v>
      </c>
      <c r="AF9" s="253">
        <v>2390.3927819079513</v>
      </c>
      <c r="AG9" s="253"/>
      <c r="AH9" s="253"/>
      <c r="AI9" s="253"/>
    </row>
    <row r="10" spans="2:35" x14ac:dyDescent="0.25">
      <c r="B10" s="15" t="s">
        <v>368</v>
      </c>
      <c r="C10" s="103" t="s">
        <v>17</v>
      </c>
      <c r="D10" s="103" t="s">
        <v>17</v>
      </c>
      <c r="E10" s="103" t="s">
        <v>17</v>
      </c>
      <c r="F10" s="103" t="s">
        <v>17</v>
      </c>
      <c r="G10" s="253">
        <v>219.19394699999998</v>
      </c>
      <c r="H10" s="253">
        <v>228.69200000000001</v>
      </c>
      <c r="I10" s="253">
        <v>282.59505000000001</v>
      </c>
      <c r="J10" s="253">
        <v>276.8</v>
      </c>
      <c r="K10" s="253">
        <v>273.37599999999998</v>
      </c>
      <c r="L10" s="253">
        <v>356.97800000000001</v>
      </c>
      <c r="M10" s="253">
        <v>346.06</v>
      </c>
      <c r="N10" s="253">
        <v>377.61799999999999</v>
      </c>
      <c r="O10" s="253">
        <v>264.78800000000001</v>
      </c>
      <c r="P10" s="253">
        <v>266.45600000000002</v>
      </c>
      <c r="Q10" s="253">
        <v>204.20599999999999</v>
      </c>
      <c r="R10" s="253">
        <v>316.577</v>
      </c>
      <c r="S10" s="253">
        <v>265.77499999999998</v>
      </c>
      <c r="T10" s="253">
        <v>342.03699999999998</v>
      </c>
      <c r="U10" s="253">
        <v>368.334</v>
      </c>
      <c r="V10" s="253">
        <v>323.94461946199982</v>
      </c>
      <c r="W10" s="253">
        <v>575.84880763000012</v>
      </c>
      <c r="X10" s="253">
        <v>1256.3004072029019</v>
      </c>
      <c r="Y10" s="253">
        <f t="shared" si="0"/>
        <v>805.44763800868998</v>
      </c>
      <c r="Z10" s="253"/>
      <c r="AB10" s="253">
        <v>1078.6770685613144</v>
      </c>
      <c r="AC10" s="253">
        <v>1026.3292263613878</v>
      </c>
      <c r="AD10" s="253">
        <v>824.25474328580663</v>
      </c>
      <c r="AE10" s="253">
        <v>805.44763800868998</v>
      </c>
      <c r="AF10" s="253">
        <v>734.04301324873802</v>
      </c>
      <c r="AG10" s="253"/>
      <c r="AH10" s="253"/>
      <c r="AI10" s="253"/>
    </row>
    <row r="11" spans="2:35" x14ac:dyDescent="0.25">
      <c r="B11" s="15" t="s">
        <v>369</v>
      </c>
      <c r="C11" s="103" t="s">
        <v>17</v>
      </c>
      <c r="D11" s="103" t="s">
        <v>17</v>
      </c>
      <c r="E11" s="103" t="s">
        <v>17</v>
      </c>
      <c r="F11" s="103" t="s">
        <v>17</v>
      </c>
      <c r="G11" s="253">
        <v>3742.0558594592512</v>
      </c>
      <c r="H11" s="253">
        <v>3651.7960000000003</v>
      </c>
      <c r="I11" s="253">
        <v>5010.3931899999998</v>
      </c>
      <c r="J11" s="253">
        <v>6604.0990000000002</v>
      </c>
      <c r="K11" s="253">
        <v>6373.7610000000004</v>
      </c>
      <c r="L11" s="253">
        <v>7160.8850000000002</v>
      </c>
      <c r="M11" s="253">
        <v>6595.6369999999997</v>
      </c>
      <c r="N11" s="253">
        <v>7996.8709999999992</v>
      </c>
      <c r="O11" s="253">
        <v>8148.5869999999995</v>
      </c>
      <c r="P11" s="253">
        <v>8043.0859999999993</v>
      </c>
      <c r="Q11" s="253">
        <v>7705.058</v>
      </c>
      <c r="R11" s="253">
        <v>6510.8590000000004</v>
      </c>
      <c r="S11" s="253">
        <v>7088.5010000000002</v>
      </c>
      <c r="T11" s="253">
        <v>6945.52</v>
      </c>
      <c r="U11" s="253">
        <v>8126.6810000000005</v>
      </c>
      <c r="V11" s="253">
        <v>8185.5426455559982</v>
      </c>
      <c r="W11" s="253">
        <v>13269.179175186002</v>
      </c>
      <c r="X11" s="253">
        <v>13983.943894088537</v>
      </c>
      <c r="Y11" s="253">
        <f t="shared" si="0"/>
        <v>11644.649622073597</v>
      </c>
      <c r="Z11" s="253"/>
      <c r="AB11" s="253">
        <v>13664.58470240629</v>
      </c>
      <c r="AC11" s="253">
        <v>13182.298969823896</v>
      </c>
      <c r="AD11" s="253">
        <v>13157.951244704722</v>
      </c>
      <c r="AE11" s="253">
        <v>11644.649622073597</v>
      </c>
      <c r="AF11" s="253">
        <v>12083.962170597822</v>
      </c>
      <c r="AG11" s="253"/>
      <c r="AH11" s="253"/>
      <c r="AI11" s="253"/>
    </row>
    <row r="12" spans="2:35" x14ac:dyDescent="0.25">
      <c r="B12" s="4" t="s">
        <v>370</v>
      </c>
      <c r="C12" s="103" t="s">
        <v>17</v>
      </c>
      <c r="D12" s="103" t="s">
        <v>17</v>
      </c>
      <c r="E12" s="103" t="s">
        <v>17</v>
      </c>
      <c r="F12" s="103" t="s">
        <v>17</v>
      </c>
      <c r="G12" s="253">
        <v>275.61759418999998</v>
      </c>
      <c r="H12" s="253">
        <v>116.43899999999999</v>
      </c>
      <c r="I12" s="253">
        <v>49.033749999999998</v>
      </c>
      <c r="J12" s="253">
        <v>83.227000000000004</v>
      </c>
      <c r="K12" s="253">
        <v>84.852000000000004</v>
      </c>
      <c r="L12" s="253">
        <v>35.744999999999997</v>
      </c>
      <c r="M12" s="253">
        <v>68.372</v>
      </c>
      <c r="N12" s="253">
        <v>428.49599999999998</v>
      </c>
      <c r="O12" s="253">
        <v>438.81</v>
      </c>
      <c r="P12" s="253">
        <v>429.17</v>
      </c>
      <c r="Q12" s="253">
        <v>79.915000000000006</v>
      </c>
      <c r="R12" s="253">
        <v>52.030999999999999</v>
      </c>
      <c r="S12" s="253">
        <v>45.255000000000003</v>
      </c>
      <c r="T12" s="253">
        <v>192.89100000000002</v>
      </c>
      <c r="U12" s="253">
        <v>61.475999999999999</v>
      </c>
      <c r="V12" s="253">
        <v>32.068865605999989</v>
      </c>
      <c r="W12" s="253">
        <v>50.074396378999992</v>
      </c>
      <c r="X12" s="253">
        <v>53.10187580510302</v>
      </c>
      <c r="Y12" s="253">
        <f t="shared" si="0"/>
        <v>70.730792506010005</v>
      </c>
      <c r="Z12" s="253"/>
      <c r="AB12" s="253">
        <v>76.862876919971001</v>
      </c>
      <c r="AC12" s="253">
        <v>85.231037170315005</v>
      </c>
      <c r="AD12" s="253">
        <v>65.397392093746006</v>
      </c>
      <c r="AE12" s="253">
        <v>70.730792506010005</v>
      </c>
      <c r="AF12" s="253">
        <v>71.329763790914001</v>
      </c>
      <c r="AG12" s="253"/>
      <c r="AH12" s="253"/>
      <c r="AI12" s="253"/>
    </row>
    <row r="13" spans="2:35" x14ac:dyDescent="0.25">
      <c r="B13" s="15" t="s">
        <v>371</v>
      </c>
      <c r="C13" s="103" t="s">
        <v>17</v>
      </c>
      <c r="D13" s="103" t="s">
        <v>17</v>
      </c>
      <c r="E13" s="103" t="s">
        <v>17</v>
      </c>
      <c r="F13" s="103" t="s">
        <v>17</v>
      </c>
      <c r="G13" s="253">
        <v>585.49923680999996</v>
      </c>
      <c r="H13" s="253">
        <v>753.49300000000005</v>
      </c>
      <c r="I13" s="253">
        <v>864.71074999999996</v>
      </c>
      <c r="J13" s="253">
        <v>713.58699999999999</v>
      </c>
      <c r="K13" s="253">
        <v>2189.56</v>
      </c>
      <c r="L13" s="253">
        <v>1511.2239999999999</v>
      </c>
      <c r="M13" s="253">
        <v>1731.5239999999999</v>
      </c>
      <c r="N13" s="253">
        <v>1695.336</v>
      </c>
      <c r="O13" s="253">
        <v>2156.7069999999999</v>
      </c>
      <c r="P13" s="253">
        <v>2613.9949999999999</v>
      </c>
      <c r="Q13" s="253">
        <v>1245.4490000000001</v>
      </c>
      <c r="R13" s="253">
        <v>1521.2529999999999</v>
      </c>
      <c r="S13" s="253">
        <v>2400.0770000000002</v>
      </c>
      <c r="T13" s="253">
        <v>1803.2049999999999</v>
      </c>
      <c r="U13" s="253">
        <v>1542.722</v>
      </c>
      <c r="V13" s="253">
        <v>2954.3023989589992</v>
      </c>
      <c r="W13" s="253">
        <v>3222.4088658089986</v>
      </c>
      <c r="X13" s="253">
        <v>4900.2045200910579</v>
      </c>
      <c r="Y13" s="253">
        <f t="shared" si="0"/>
        <v>3372.4322691044094</v>
      </c>
      <c r="Z13" s="253"/>
      <c r="AB13" s="253">
        <v>4155.5536973293374</v>
      </c>
      <c r="AC13" s="253">
        <v>3112.574036039628</v>
      </c>
      <c r="AD13" s="253">
        <v>1996.2051906544175</v>
      </c>
      <c r="AE13" s="253">
        <v>3372.4322691044094</v>
      </c>
      <c r="AF13" s="253">
        <v>2333.1117024954292</v>
      </c>
      <c r="AG13" s="253"/>
      <c r="AH13" s="253"/>
      <c r="AI13" s="253"/>
    </row>
    <row r="14" spans="2:35" x14ac:dyDescent="0.25">
      <c r="B14" s="66" t="s">
        <v>327</v>
      </c>
      <c r="C14" s="139" t="s">
        <v>17</v>
      </c>
      <c r="D14" s="139" t="s">
        <v>17</v>
      </c>
      <c r="E14" s="139" t="s">
        <v>17</v>
      </c>
      <c r="F14" s="139" t="s">
        <v>17</v>
      </c>
      <c r="G14" s="269">
        <v>24032.974933459252</v>
      </c>
      <c r="H14" s="269">
        <v>25407.111772089993</v>
      </c>
      <c r="I14" s="269">
        <v>31871.492669999996</v>
      </c>
      <c r="J14" s="269">
        <v>35709.093999999997</v>
      </c>
      <c r="K14" s="269">
        <v>40261.557000000008</v>
      </c>
      <c r="L14" s="269">
        <v>40488.853000000003</v>
      </c>
      <c r="M14" s="269">
        <v>41267.629000000001</v>
      </c>
      <c r="N14" s="269">
        <v>42627.843999999997</v>
      </c>
      <c r="O14" s="269">
        <v>42065.536999999997</v>
      </c>
      <c r="P14" s="269">
        <v>42873.025000000001</v>
      </c>
      <c r="Q14" s="269">
        <v>42536.964999999997</v>
      </c>
      <c r="R14" s="269">
        <v>44083.745999999999</v>
      </c>
      <c r="S14" s="269">
        <v>42075.048999999999</v>
      </c>
      <c r="T14" s="269">
        <v>41626.960000000006</v>
      </c>
      <c r="U14" s="269">
        <v>42361.646000000008</v>
      </c>
      <c r="V14" s="269">
        <v>43271.417816000001</v>
      </c>
      <c r="W14" s="269">
        <v>50994.152255067034</v>
      </c>
      <c r="X14" s="269">
        <v>58816.410706601637</v>
      </c>
      <c r="Y14" s="269">
        <f t="shared" si="0"/>
        <v>56696.674236901243</v>
      </c>
      <c r="Z14" s="269"/>
      <c r="AB14" s="269">
        <v>58165.769857002626</v>
      </c>
      <c r="AC14" s="269">
        <v>58000.165679806501</v>
      </c>
      <c r="AD14" s="269">
        <v>57920.535857948402</v>
      </c>
      <c r="AE14" s="269">
        <v>56696.674236901243</v>
      </c>
      <c r="AF14" s="269">
        <v>55768.449438918353</v>
      </c>
      <c r="AG14" s="269"/>
      <c r="AH14" s="269"/>
      <c r="AI14" s="269"/>
    </row>
    <row r="15" spans="2:35" x14ac:dyDescent="0.25">
      <c r="B15" s="24"/>
      <c r="C15" s="59"/>
      <c r="D15" s="59"/>
      <c r="E15" s="59"/>
      <c r="F15" s="59"/>
      <c r="G15" s="236"/>
      <c r="H15" s="236"/>
      <c r="I15" s="236"/>
      <c r="J15" s="236"/>
      <c r="K15" s="236"/>
      <c r="L15" s="236"/>
      <c r="M15" s="236"/>
      <c r="N15" s="236"/>
      <c r="O15" s="236"/>
      <c r="P15" s="236"/>
      <c r="Q15" s="236"/>
      <c r="R15" s="236"/>
      <c r="S15" s="236"/>
      <c r="T15" s="236"/>
      <c r="U15" s="236"/>
      <c r="V15" s="236"/>
      <c r="W15" s="60"/>
      <c r="X15" s="60"/>
      <c r="Y15" s="60"/>
      <c r="Z15" s="60"/>
      <c r="AB15" s="236"/>
      <c r="AC15" s="236"/>
      <c r="AD15" s="69"/>
      <c r="AE15" s="69"/>
      <c r="AF15" s="236"/>
      <c r="AG15" s="236"/>
      <c r="AH15" s="69"/>
      <c r="AI15" s="69"/>
    </row>
    <row r="16" spans="2:35" x14ac:dyDescent="0.25">
      <c r="B16" s="167" t="s">
        <v>372</v>
      </c>
      <c r="C16" s="61">
        <v>2001</v>
      </c>
      <c r="D16" s="61">
        <v>2002</v>
      </c>
      <c r="E16" s="61">
        <v>2003</v>
      </c>
      <c r="F16" s="61">
        <v>2004</v>
      </c>
      <c r="G16" s="228">
        <v>2005</v>
      </c>
      <c r="H16" s="228">
        <v>2006</v>
      </c>
      <c r="I16" s="228">
        <v>2007</v>
      </c>
      <c r="J16" s="228">
        <v>2008</v>
      </c>
      <c r="K16" s="228">
        <v>2009</v>
      </c>
      <c r="L16" s="228">
        <v>2010</v>
      </c>
      <c r="M16" s="228">
        <v>2011</v>
      </c>
      <c r="N16" s="228">
        <v>2012</v>
      </c>
      <c r="O16" s="228">
        <v>2013</v>
      </c>
      <c r="P16" s="228">
        <v>2014</v>
      </c>
      <c r="Q16" s="228">
        <v>2015</v>
      </c>
      <c r="R16" s="228">
        <v>2016</v>
      </c>
      <c r="S16" s="228">
        <v>2017</v>
      </c>
      <c r="T16" s="228">
        <v>2018</v>
      </c>
      <c r="U16" s="228">
        <v>2019</v>
      </c>
      <c r="V16" s="228">
        <v>2020</v>
      </c>
      <c r="W16" s="228">
        <v>2021</v>
      </c>
      <c r="X16" s="228">
        <v>2022</v>
      </c>
      <c r="Y16" s="229">
        <v>2023</v>
      </c>
      <c r="Z16" s="230">
        <v>2024</v>
      </c>
      <c r="AB16" s="231" t="s">
        <v>291</v>
      </c>
      <c r="AC16" s="231" t="s">
        <v>292</v>
      </c>
      <c r="AD16" s="231" t="s">
        <v>293</v>
      </c>
      <c r="AE16" s="231">
        <v>2023</v>
      </c>
      <c r="AF16" s="232" t="s">
        <v>318</v>
      </c>
      <c r="AG16" s="232" t="s">
        <v>319</v>
      </c>
      <c r="AH16" s="232" t="s">
        <v>320</v>
      </c>
      <c r="AI16" s="232">
        <v>2024</v>
      </c>
    </row>
    <row r="17" spans="1:44" x14ac:dyDescent="0.25">
      <c r="B17" s="15" t="s">
        <v>373</v>
      </c>
      <c r="C17" s="25" t="s">
        <v>17</v>
      </c>
      <c r="D17" s="25" t="s">
        <v>17</v>
      </c>
      <c r="E17" s="25" t="s">
        <v>17</v>
      </c>
      <c r="F17" s="103" t="s">
        <v>17</v>
      </c>
      <c r="G17" s="253">
        <v>4823.4024179999997</v>
      </c>
      <c r="H17" s="253">
        <v>5527.4440000000004</v>
      </c>
      <c r="I17" s="253">
        <v>6264.1460518399308</v>
      </c>
      <c r="J17" s="253">
        <v>6365.18</v>
      </c>
      <c r="K17" s="253">
        <v>7291.1509999999998</v>
      </c>
      <c r="L17" s="253">
        <v>7854.5579999999991</v>
      </c>
      <c r="M17" s="253">
        <v>8109.5339999999997</v>
      </c>
      <c r="N17" s="253">
        <v>8192.3539999999994</v>
      </c>
      <c r="O17" s="253">
        <v>8445.7559999999994</v>
      </c>
      <c r="P17" s="253">
        <v>8681.4650000000001</v>
      </c>
      <c r="Q17" s="253">
        <v>8669.7749999999996</v>
      </c>
      <c r="R17" s="253">
        <v>9406.2870000000003</v>
      </c>
      <c r="S17" s="253">
        <v>9545.9380000000001</v>
      </c>
      <c r="T17" s="253">
        <v>8968.1779999999999</v>
      </c>
      <c r="U17" s="253">
        <v>8858.1869999999999</v>
      </c>
      <c r="V17" s="253">
        <v>9582.6551040250761</v>
      </c>
      <c r="W17" s="253">
        <v>9322.8087895600383</v>
      </c>
      <c r="X17" s="253">
        <v>8883.4486980405072</v>
      </c>
      <c r="Y17" s="253">
        <f>AE17</f>
        <v>11552.638664365235</v>
      </c>
      <c r="Z17" s="253"/>
      <c r="AB17" s="253">
        <v>11058.200544755735</v>
      </c>
      <c r="AC17" s="253">
        <v>10696.923733136031</v>
      </c>
      <c r="AD17" s="253">
        <v>11455.53375064138</v>
      </c>
      <c r="AE17" s="253">
        <v>11552.638664365235</v>
      </c>
      <c r="AF17" s="253">
        <v>11845.305252245704</v>
      </c>
      <c r="AG17" s="253"/>
      <c r="AH17" s="253"/>
      <c r="AI17" s="253"/>
    </row>
    <row r="18" spans="1:44" x14ac:dyDescent="0.25">
      <c r="B18" s="15" t="s">
        <v>29</v>
      </c>
      <c r="C18" s="25" t="s">
        <v>17</v>
      </c>
      <c r="D18" s="25" t="s">
        <v>17</v>
      </c>
      <c r="E18" s="25" t="s">
        <v>17</v>
      </c>
      <c r="F18" s="103" t="s">
        <v>17</v>
      </c>
      <c r="G18" s="253">
        <v>1287.7629069999998</v>
      </c>
      <c r="H18" s="253">
        <v>945.66099999999994</v>
      </c>
      <c r="I18" s="253">
        <v>986.62606000000005</v>
      </c>
      <c r="J18" s="253">
        <v>2181.7289999999998</v>
      </c>
      <c r="K18" s="253">
        <v>2687.5369999999998</v>
      </c>
      <c r="L18" s="253">
        <v>2930.4009999999998</v>
      </c>
      <c r="M18" s="253">
        <v>3277.2449999999999</v>
      </c>
      <c r="N18" s="253">
        <v>3239.3139999999999</v>
      </c>
      <c r="O18" s="253">
        <v>3082.1460000000002</v>
      </c>
      <c r="P18" s="253">
        <v>3287.6790000000001</v>
      </c>
      <c r="Q18" s="253">
        <v>3451.7179999999998</v>
      </c>
      <c r="R18" s="253">
        <v>4330.085</v>
      </c>
      <c r="S18" s="253">
        <v>3934.3220000000001</v>
      </c>
      <c r="T18" s="253">
        <v>3932.1489999999999</v>
      </c>
      <c r="U18" s="253">
        <v>3773.826</v>
      </c>
      <c r="V18" s="253">
        <v>3488.3204970000002</v>
      </c>
      <c r="W18" s="253">
        <v>4654.7564893659946</v>
      </c>
      <c r="X18" s="253">
        <v>4951.1588076983207</v>
      </c>
      <c r="Y18" s="253">
        <f>AE18</f>
        <v>5104.1638684877853</v>
      </c>
      <c r="Z18" s="253"/>
      <c r="AB18" s="253">
        <v>5793.195758216948</v>
      </c>
      <c r="AC18" s="253">
        <v>5934.205998297849</v>
      </c>
      <c r="AD18" s="253">
        <v>5229.1497647648566</v>
      </c>
      <c r="AE18" s="253">
        <v>5104.1638684877853</v>
      </c>
      <c r="AF18" s="253">
        <v>5222.1701382761294</v>
      </c>
      <c r="AG18" s="253"/>
      <c r="AH18" s="253"/>
      <c r="AI18" s="253"/>
    </row>
    <row r="19" spans="1:44" x14ac:dyDescent="0.25">
      <c r="B19" s="66" t="s">
        <v>328</v>
      </c>
      <c r="C19" s="67" t="s">
        <v>17</v>
      </c>
      <c r="D19" s="67" t="s">
        <v>17</v>
      </c>
      <c r="E19" s="67" t="s">
        <v>17</v>
      </c>
      <c r="F19" s="139" t="s">
        <v>17</v>
      </c>
      <c r="G19" s="269">
        <v>6111.1653249999999</v>
      </c>
      <c r="H19" s="269">
        <v>6473.1050000000005</v>
      </c>
      <c r="I19" s="269">
        <v>7250.7721099999999</v>
      </c>
      <c r="J19" s="269">
        <v>8546.9089999999997</v>
      </c>
      <c r="K19" s="269">
        <v>9978.6880000000001</v>
      </c>
      <c r="L19" s="269">
        <v>10784.958999999999</v>
      </c>
      <c r="M19" s="269">
        <v>11386.778999999999</v>
      </c>
      <c r="N19" s="269">
        <v>11431.668</v>
      </c>
      <c r="O19" s="269">
        <v>11527.902</v>
      </c>
      <c r="P19" s="269">
        <v>11969.144</v>
      </c>
      <c r="Q19" s="269">
        <v>12121.492999999999</v>
      </c>
      <c r="R19" s="269">
        <v>13736.371999999999</v>
      </c>
      <c r="S19" s="269">
        <v>13480.26</v>
      </c>
      <c r="T19" s="269">
        <v>12900.326999999999</v>
      </c>
      <c r="U19" s="269">
        <v>12632.012999999999</v>
      </c>
      <c r="V19" s="269">
        <v>13070.975601</v>
      </c>
      <c r="W19" s="269">
        <v>13977.565278926037</v>
      </c>
      <c r="X19" s="269">
        <v>13834.607505738835</v>
      </c>
      <c r="Y19" s="269">
        <f>AE19</f>
        <v>16656.80253285302</v>
      </c>
      <c r="Z19" s="269"/>
      <c r="AB19" s="269">
        <v>16851.396302972684</v>
      </c>
      <c r="AC19" s="269">
        <v>16631.129731433884</v>
      </c>
      <c r="AD19" s="269">
        <v>16684.683515406228</v>
      </c>
      <c r="AE19" s="269">
        <v>16656.80253285302</v>
      </c>
      <c r="AF19" s="269">
        <v>17067.475390521839</v>
      </c>
      <c r="AG19" s="269"/>
      <c r="AH19" s="269"/>
      <c r="AI19" s="269"/>
    </row>
    <row r="20" spans="1:44" x14ac:dyDescent="0.25">
      <c r="B20" s="24"/>
      <c r="C20" s="59"/>
      <c r="D20" s="59"/>
      <c r="E20" s="59"/>
      <c r="F20" s="59"/>
      <c r="G20" s="236"/>
      <c r="H20" s="236"/>
      <c r="I20" s="236"/>
      <c r="J20" s="236"/>
      <c r="K20" s="236"/>
      <c r="L20" s="236"/>
      <c r="M20" s="236"/>
      <c r="N20" s="236"/>
      <c r="O20" s="236"/>
      <c r="P20" s="236"/>
      <c r="Q20" s="236"/>
      <c r="R20" s="236"/>
      <c r="S20" s="236"/>
      <c r="T20" s="236"/>
      <c r="U20" s="236"/>
      <c r="V20" s="236"/>
      <c r="W20" s="60"/>
      <c r="X20" s="60"/>
      <c r="Y20" s="60"/>
      <c r="Z20" s="60"/>
      <c r="AB20" s="236"/>
      <c r="AC20" s="236"/>
      <c r="AD20" s="69"/>
      <c r="AE20" s="69"/>
      <c r="AF20" s="236"/>
      <c r="AG20" s="236"/>
      <c r="AH20" s="69"/>
      <c r="AI20" s="69"/>
    </row>
    <row r="21" spans="1:44" x14ac:dyDescent="0.25">
      <c r="B21" s="165" t="s">
        <v>374</v>
      </c>
      <c r="C21" s="61">
        <v>2001</v>
      </c>
      <c r="D21" s="61">
        <v>2002</v>
      </c>
      <c r="E21" s="61">
        <v>2003</v>
      </c>
      <c r="F21" s="61">
        <v>2004</v>
      </c>
      <c r="G21" s="228">
        <v>2005</v>
      </c>
      <c r="H21" s="228">
        <v>2006</v>
      </c>
      <c r="I21" s="228">
        <v>2007</v>
      </c>
      <c r="J21" s="228">
        <v>2008</v>
      </c>
      <c r="K21" s="228">
        <v>2009</v>
      </c>
      <c r="L21" s="228">
        <v>2010</v>
      </c>
      <c r="M21" s="228">
        <v>2011</v>
      </c>
      <c r="N21" s="228">
        <v>2012</v>
      </c>
      <c r="O21" s="228">
        <v>2013</v>
      </c>
      <c r="P21" s="228">
        <v>2014</v>
      </c>
      <c r="Q21" s="228">
        <v>2015</v>
      </c>
      <c r="R21" s="228">
        <v>2016</v>
      </c>
      <c r="S21" s="228">
        <v>2017</v>
      </c>
      <c r="T21" s="228">
        <v>2018</v>
      </c>
      <c r="U21" s="228">
        <v>2019</v>
      </c>
      <c r="V21" s="228">
        <v>2020</v>
      </c>
      <c r="W21" s="228">
        <v>2021</v>
      </c>
      <c r="X21" s="228">
        <v>2022</v>
      </c>
      <c r="Y21" s="229">
        <v>2023</v>
      </c>
      <c r="Z21" s="230">
        <v>2024</v>
      </c>
      <c r="AB21" s="231" t="s">
        <v>291</v>
      </c>
      <c r="AC21" s="231" t="s">
        <v>292</v>
      </c>
      <c r="AD21" s="231" t="s">
        <v>293</v>
      </c>
      <c r="AE21" s="231">
        <v>2023</v>
      </c>
      <c r="AF21" s="232" t="s">
        <v>318</v>
      </c>
      <c r="AG21" s="232" t="s">
        <v>319</v>
      </c>
      <c r="AH21" s="232" t="s">
        <v>320</v>
      </c>
      <c r="AI21" s="232">
        <v>2024</v>
      </c>
    </row>
    <row r="22" spans="1:44" x14ac:dyDescent="0.25">
      <c r="B22" s="15" t="s">
        <v>375</v>
      </c>
      <c r="C22" s="25" t="str">
        <f>IFERROR(C23+C24,"-")</f>
        <v>-</v>
      </c>
      <c r="D22" s="25" t="str">
        <f>IFERROR(D23+D24,"-")</f>
        <v>-</v>
      </c>
      <c r="E22" s="25" t="str">
        <f>IFERROR(E23+E24,"-")</f>
        <v>-</v>
      </c>
      <c r="F22" s="25" t="str">
        <f t="shared" ref="F22:P22" si="1">IFERROR(F23+F24,"-")</f>
        <v>-</v>
      </c>
      <c r="G22" s="253">
        <f t="shared" si="1"/>
        <v>10584.300207</v>
      </c>
      <c r="H22" s="253">
        <f t="shared" si="1"/>
        <v>10153.049999999999</v>
      </c>
      <c r="I22" s="253">
        <f t="shared" si="1"/>
        <v>12605.992259999999</v>
      </c>
      <c r="J22" s="253">
        <f t="shared" si="1"/>
        <v>14686.325000000001</v>
      </c>
      <c r="K22" s="253">
        <f t="shared" si="1"/>
        <v>16280.98</v>
      </c>
      <c r="L22" s="253">
        <f t="shared" si="1"/>
        <v>17891.646000000001</v>
      </c>
      <c r="M22" s="253">
        <f t="shared" si="1"/>
        <v>18785.109</v>
      </c>
      <c r="N22" s="253">
        <f t="shared" si="1"/>
        <v>20523.227999999999</v>
      </c>
      <c r="O22" s="253">
        <f t="shared" si="1"/>
        <v>19758.809000000001</v>
      </c>
      <c r="P22" s="253">
        <f t="shared" si="1"/>
        <v>20298.183000000001</v>
      </c>
      <c r="Q22" s="253">
        <f>IFERROR(Q23+Q24,"-")</f>
        <v>19270.54</v>
      </c>
      <c r="R22" s="253">
        <v>18026.675999999999</v>
      </c>
      <c r="S22" s="253">
        <v>16917.764999999999</v>
      </c>
      <c r="T22" s="253">
        <v>16084.898999999999</v>
      </c>
      <c r="U22" s="253">
        <v>16571.469000000001</v>
      </c>
      <c r="V22" s="253">
        <v>16286.763396119997</v>
      </c>
      <c r="W22" s="253">
        <v>16817.935141414997</v>
      </c>
      <c r="X22" s="253">
        <v>20022.473545859331</v>
      </c>
      <c r="Y22" s="253">
        <f t="shared" ref="Y22:Y32" si="2">AE22</f>
        <v>20632.690643095404</v>
      </c>
      <c r="Z22" s="253"/>
      <c r="AB22" s="253">
        <v>19153.3541668826</v>
      </c>
      <c r="AC22" s="253">
        <v>20365.321218979425</v>
      </c>
      <c r="AD22" s="253">
        <v>20838.255680394683</v>
      </c>
      <c r="AE22" s="253">
        <v>20632.690643095404</v>
      </c>
      <c r="AF22" s="253">
        <v>20232.659642401082</v>
      </c>
      <c r="AG22" s="253"/>
      <c r="AH22" s="253"/>
      <c r="AI22" s="253"/>
    </row>
    <row r="23" spans="1:44" x14ac:dyDescent="0.25">
      <c r="B23" s="17" t="s">
        <v>376</v>
      </c>
      <c r="C23" s="102" t="s">
        <v>17</v>
      </c>
      <c r="D23" s="102" t="s">
        <v>17</v>
      </c>
      <c r="E23" s="102" t="s">
        <v>17</v>
      </c>
      <c r="F23" s="102" t="s">
        <v>17</v>
      </c>
      <c r="G23" s="270">
        <v>8600.7207670000007</v>
      </c>
      <c r="H23" s="270">
        <v>8624.6949999999997</v>
      </c>
      <c r="I23" s="270">
        <v>10659.3699</v>
      </c>
      <c r="J23" s="270">
        <v>10874.311</v>
      </c>
      <c r="K23" s="270">
        <v>13486.499</v>
      </c>
      <c r="L23" s="270">
        <v>14887.195</v>
      </c>
      <c r="M23" s="270">
        <v>15786.411</v>
      </c>
      <c r="N23" s="270">
        <v>16715.724999999999</v>
      </c>
      <c r="O23" s="270">
        <v>15600.723</v>
      </c>
      <c r="P23" s="270">
        <v>16400.827000000001</v>
      </c>
      <c r="Q23" s="270">
        <v>15653.876</v>
      </c>
      <c r="R23" s="270">
        <v>15550.272999999999</v>
      </c>
      <c r="S23" s="253">
        <v>15469.636</v>
      </c>
      <c r="T23" s="270">
        <v>13462.39</v>
      </c>
      <c r="U23" s="270">
        <v>13124.615</v>
      </c>
      <c r="V23" s="270">
        <v>14023.940408667995</v>
      </c>
      <c r="W23" s="270">
        <v>15299.587551628996</v>
      </c>
      <c r="X23" s="270">
        <v>15782.604305561636</v>
      </c>
      <c r="Y23" s="253">
        <f t="shared" si="2"/>
        <v>16728.11087113899</v>
      </c>
      <c r="Z23" s="253"/>
      <c r="AB23" s="270">
        <v>15364.645465388061</v>
      </c>
      <c r="AC23" s="270">
        <v>16495.911705958009</v>
      </c>
      <c r="AD23" s="270">
        <v>15826.453469622655</v>
      </c>
      <c r="AE23" s="270">
        <v>16728.11087113899</v>
      </c>
      <c r="AF23" s="270">
        <v>17612.283279910363</v>
      </c>
      <c r="AG23" s="270"/>
      <c r="AH23" s="270"/>
      <c r="AI23" s="270"/>
    </row>
    <row r="24" spans="1:44" x14ac:dyDescent="0.25">
      <c r="B24" s="17" t="s">
        <v>377</v>
      </c>
      <c r="C24" s="102" t="s">
        <v>17</v>
      </c>
      <c r="D24" s="102" t="s">
        <v>17</v>
      </c>
      <c r="E24" s="102" t="s">
        <v>17</v>
      </c>
      <c r="F24" s="102" t="s">
        <v>17</v>
      </c>
      <c r="G24" s="270">
        <v>1983.57944</v>
      </c>
      <c r="H24" s="270">
        <v>1528.355</v>
      </c>
      <c r="I24" s="270">
        <v>1946.6223600000001</v>
      </c>
      <c r="J24" s="270">
        <v>3812.0140000000001</v>
      </c>
      <c r="K24" s="270">
        <v>2794.4810000000002</v>
      </c>
      <c r="L24" s="270">
        <v>3004.451</v>
      </c>
      <c r="M24" s="270">
        <v>2998.6979999999999</v>
      </c>
      <c r="N24" s="270">
        <v>3807.5030000000002</v>
      </c>
      <c r="O24" s="270">
        <v>4158.0860000000002</v>
      </c>
      <c r="P24" s="270">
        <v>3897.3560000000002</v>
      </c>
      <c r="Q24" s="270">
        <v>3616.6640000000002</v>
      </c>
      <c r="R24" s="270">
        <v>2476.4029999999998</v>
      </c>
      <c r="S24" s="270">
        <v>1448.1289999999999</v>
      </c>
      <c r="T24" s="270">
        <v>2622.509</v>
      </c>
      <c r="U24" s="270">
        <v>3446.8539999999998</v>
      </c>
      <c r="V24" s="270">
        <v>2262.8229874520011</v>
      </c>
      <c r="W24" s="270">
        <v>1518.347589786001</v>
      </c>
      <c r="X24" s="270">
        <v>4239.8692402976958</v>
      </c>
      <c r="Y24" s="253">
        <f t="shared" si="2"/>
        <v>3904.5797719564143</v>
      </c>
      <c r="Z24" s="253"/>
      <c r="AB24" s="270">
        <v>3788.7087014945382</v>
      </c>
      <c r="AC24" s="270">
        <v>3869.4095130214168</v>
      </c>
      <c r="AD24" s="270">
        <v>5011.802210772028</v>
      </c>
      <c r="AE24" s="270">
        <v>3904.5797719564143</v>
      </c>
      <c r="AF24" s="270">
        <v>2620.3763624907183</v>
      </c>
      <c r="AG24" s="270"/>
      <c r="AH24" s="270"/>
      <c r="AI24" s="270"/>
    </row>
    <row r="25" spans="1:44" x14ac:dyDescent="0.25">
      <c r="B25" s="15" t="s">
        <v>378</v>
      </c>
      <c r="C25" s="103" t="s">
        <v>17</v>
      </c>
      <c r="D25" s="103" t="s">
        <v>17</v>
      </c>
      <c r="E25" s="103" t="s">
        <v>17</v>
      </c>
      <c r="F25" s="103" t="s">
        <v>17</v>
      </c>
      <c r="G25" s="268" t="s">
        <v>17</v>
      </c>
      <c r="H25" s="268" t="s">
        <v>17</v>
      </c>
      <c r="I25" s="268" t="s">
        <v>17</v>
      </c>
      <c r="J25" s="268" t="s">
        <v>17</v>
      </c>
      <c r="K25" s="268" t="s">
        <v>17</v>
      </c>
      <c r="L25" s="268" t="s">
        <v>17</v>
      </c>
      <c r="M25" s="253">
        <v>1823.157802950175</v>
      </c>
      <c r="N25" s="253">
        <v>1933.425279726767</v>
      </c>
      <c r="O25" s="253">
        <v>1934.535057556641</v>
      </c>
      <c r="P25" s="253">
        <v>1880.272739681084</v>
      </c>
      <c r="Q25" s="253">
        <v>1823.4935823627636</v>
      </c>
      <c r="R25" s="253">
        <v>1726.8449534430399</v>
      </c>
      <c r="S25" s="270">
        <v>1522.2522320760522</v>
      </c>
      <c r="T25" s="253">
        <v>1407.3019999999999</v>
      </c>
      <c r="U25" s="253">
        <v>1311.6689999999999</v>
      </c>
      <c r="V25" s="253">
        <v>1342.3034143379996</v>
      </c>
      <c r="W25" s="253">
        <v>1119.7999979480001</v>
      </c>
      <c r="X25" s="253">
        <v>771.06640853061401</v>
      </c>
      <c r="Y25" s="253">
        <f t="shared" si="2"/>
        <v>664.86828014836419</v>
      </c>
      <c r="Z25" s="253"/>
      <c r="AB25" s="253">
        <v>751.73485800130925</v>
      </c>
      <c r="AC25" s="253">
        <v>752.81757576672408</v>
      </c>
      <c r="AD25" s="253">
        <v>713.51414907676508</v>
      </c>
      <c r="AE25" s="253">
        <v>664.86828014836419</v>
      </c>
      <c r="AF25" s="253">
        <v>639.84006142708802</v>
      </c>
      <c r="AG25" s="253"/>
      <c r="AH25" s="253"/>
      <c r="AI25" s="253"/>
    </row>
    <row r="26" spans="1:44" x14ac:dyDescent="0.25">
      <c r="B26" s="15" t="s">
        <v>379</v>
      </c>
      <c r="C26" s="103" t="s">
        <v>17</v>
      </c>
      <c r="D26" s="103" t="s">
        <v>17</v>
      </c>
      <c r="E26" s="103" t="s">
        <v>17</v>
      </c>
      <c r="F26" s="103" t="s">
        <v>17</v>
      </c>
      <c r="G26" s="268" t="s">
        <v>17</v>
      </c>
      <c r="H26" s="268" t="s">
        <v>17</v>
      </c>
      <c r="I26" s="268" t="s">
        <v>17</v>
      </c>
      <c r="J26" s="268" t="s">
        <v>17</v>
      </c>
      <c r="K26" s="268" t="s">
        <v>17</v>
      </c>
      <c r="L26" s="268" t="s">
        <v>17</v>
      </c>
      <c r="M26" s="253">
        <v>1783.8612410052601</v>
      </c>
      <c r="N26" s="253">
        <v>1679.7532220403198</v>
      </c>
      <c r="O26" s="253">
        <v>1508.4952814734002</v>
      </c>
      <c r="P26" s="253">
        <v>1801.9629226835002</v>
      </c>
      <c r="Q26" s="253">
        <v>1164.7735773681009</v>
      </c>
      <c r="R26" s="253">
        <v>1520.2254885533271</v>
      </c>
      <c r="S26" s="253">
        <v>1249.1096941623409</v>
      </c>
      <c r="T26" s="253">
        <v>1269.2489999999998</v>
      </c>
      <c r="U26" s="253">
        <v>1286.9289884971899</v>
      </c>
      <c r="V26" s="253">
        <v>1134.4478748729994</v>
      </c>
      <c r="W26" s="253">
        <v>1528.1685471390001</v>
      </c>
      <c r="X26" s="253">
        <v>1413.7996134608481</v>
      </c>
      <c r="Y26" s="253">
        <f t="shared" si="2"/>
        <v>1419.0544196152082</v>
      </c>
      <c r="Z26" s="253"/>
      <c r="AB26" s="253">
        <v>1328.6110632156403</v>
      </c>
      <c r="AC26" s="253">
        <v>1313.420782703362</v>
      </c>
      <c r="AD26" s="253">
        <v>1333.3432773920422</v>
      </c>
      <c r="AE26" s="253">
        <v>1419.0544196152082</v>
      </c>
      <c r="AF26" s="253">
        <v>1370.6212624870866</v>
      </c>
      <c r="AG26" s="253"/>
      <c r="AH26" s="253"/>
      <c r="AI26" s="253"/>
    </row>
    <row r="27" spans="1:44" x14ac:dyDescent="0.25">
      <c r="B27" s="14" t="s">
        <v>74</v>
      </c>
      <c r="C27" s="103" t="s">
        <v>17</v>
      </c>
      <c r="D27" s="103" t="s">
        <v>17</v>
      </c>
      <c r="E27" s="103" t="s">
        <v>17</v>
      </c>
      <c r="F27" s="103" t="s">
        <v>17</v>
      </c>
      <c r="G27" s="253">
        <v>2112.4942120000005</v>
      </c>
      <c r="H27" s="253">
        <v>2159.0329999999999</v>
      </c>
      <c r="I27" s="253">
        <v>376.04076000000003</v>
      </c>
      <c r="J27" s="253">
        <v>323.71899999999999</v>
      </c>
      <c r="K27" s="253">
        <v>342.755</v>
      </c>
      <c r="L27" s="253">
        <v>431.19400000000002</v>
      </c>
      <c r="M27" s="253">
        <v>415.149</v>
      </c>
      <c r="N27" s="253">
        <v>382.86599999999999</v>
      </c>
      <c r="O27" s="253">
        <v>381.67</v>
      </c>
      <c r="P27" s="253">
        <v>485.53899999999999</v>
      </c>
      <c r="Q27" s="253">
        <v>506.072</v>
      </c>
      <c r="R27" s="253">
        <v>671.49199999999996</v>
      </c>
      <c r="S27" s="253">
        <v>752.82899999999995</v>
      </c>
      <c r="T27" s="253">
        <v>1018.4449999999999</v>
      </c>
      <c r="U27" s="253">
        <v>1052.5170000000001</v>
      </c>
      <c r="V27" s="253">
        <v>1254.2591110000001</v>
      </c>
      <c r="W27" s="253">
        <v>1086.907587619</v>
      </c>
      <c r="X27" s="253">
        <v>973.34397805852939</v>
      </c>
      <c r="Y27" s="253">
        <f t="shared" si="2"/>
        <v>922.72731449250591</v>
      </c>
      <c r="Z27" s="253"/>
      <c r="AB27" s="253">
        <v>986.91296565800201</v>
      </c>
      <c r="AC27" s="253">
        <v>1006.2701895460948</v>
      </c>
      <c r="AD27" s="253">
        <v>972.60581808117161</v>
      </c>
      <c r="AE27" s="253">
        <v>922.72731449250591</v>
      </c>
      <c r="AF27" s="253">
        <v>975.26993430881851</v>
      </c>
      <c r="AG27" s="253"/>
      <c r="AH27" s="253"/>
      <c r="AI27" s="253"/>
    </row>
    <row r="28" spans="1:44" x14ac:dyDescent="0.25">
      <c r="B28" s="3" t="s">
        <v>380</v>
      </c>
      <c r="C28" s="103" t="s">
        <v>17</v>
      </c>
      <c r="D28" s="103" t="s">
        <v>17</v>
      </c>
      <c r="E28" s="103" t="s">
        <v>17</v>
      </c>
      <c r="F28" s="103" t="s">
        <v>17</v>
      </c>
      <c r="G28" s="253">
        <v>369.72161399999999</v>
      </c>
      <c r="H28" s="253">
        <v>557.26900000000001</v>
      </c>
      <c r="I28" s="253">
        <v>688.11643000000004</v>
      </c>
      <c r="J28" s="253">
        <v>655.947</v>
      </c>
      <c r="K28" s="253">
        <v>758.89300000000003</v>
      </c>
      <c r="L28" s="253">
        <v>856.072</v>
      </c>
      <c r="M28" s="253">
        <v>1500.808</v>
      </c>
      <c r="N28" s="253">
        <v>1319.7919999999999</v>
      </c>
      <c r="O28" s="253">
        <v>1333.172</v>
      </c>
      <c r="P28" s="253">
        <v>1220.5650000000001</v>
      </c>
      <c r="Q28" s="253">
        <v>1312.3630000000001</v>
      </c>
      <c r="R28" s="253">
        <v>1675.665</v>
      </c>
      <c r="S28" s="253">
        <v>1029.9880000000001</v>
      </c>
      <c r="T28" s="253">
        <v>1238.4270000000001</v>
      </c>
      <c r="U28" s="253">
        <v>1120.5519999999999</v>
      </c>
      <c r="V28" s="253">
        <v>1392.6188079999999</v>
      </c>
      <c r="W28" s="253">
        <v>1696.1257241559997</v>
      </c>
      <c r="X28" s="253">
        <v>2424.945590994374</v>
      </c>
      <c r="Y28" s="253">
        <f t="shared" si="2"/>
        <v>2351.8808992759737</v>
      </c>
      <c r="Z28" s="253"/>
      <c r="AB28" s="253">
        <v>2817.3726306100743</v>
      </c>
      <c r="AC28" s="253">
        <v>2820.4213792011633</v>
      </c>
      <c r="AD28" s="253">
        <v>2735.9025543828056</v>
      </c>
      <c r="AE28" s="253">
        <v>2351.8808992759737</v>
      </c>
      <c r="AF28" s="253">
        <v>2618.9311606639212</v>
      </c>
      <c r="AG28" s="253"/>
      <c r="AH28" s="253"/>
      <c r="AI28" s="253"/>
    </row>
    <row r="29" spans="1:44" x14ac:dyDescent="0.25">
      <c r="B29" s="18" t="s">
        <v>381</v>
      </c>
      <c r="C29" s="103" t="s">
        <v>17</v>
      </c>
      <c r="D29" s="103" t="s">
        <v>17</v>
      </c>
      <c r="E29" s="103" t="s">
        <v>17</v>
      </c>
      <c r="F29" s="103" t="s">
        <v>17</v>
      </c>
      <c r="G29" s="268" t="s">
        <v>17</v>
      </c>
      <c r="H29" s="268" t="s">
        <v>17</v>
      </c>
      <c r="I29" s="268" t="s">
        <v>17</v>
      </c>
      <c r="J29" s="268" t="s">
        <v>17</v>
      </c>
      <c r="K29" s="268" t="s">
        <v>17</v>
      </c>
      <c r="L29" s="268" t="s">
        <v>17</v>
      </c>
      <c r="M29" s="271" t="s">
        <v>17</v>
      </c>
      <c r="N29" s="271" t="s">
        <v>17</v>
      </c>
      <c r="O29" s="271" t="s">
        <v>17</v>
      </c>
      <c r="P29" s="271" t="s">
        <v>17</v>
      </c>
      <c r="Q29" s="253">
        <v>791.44378602739903</v>
      </c>
      <c r="R29" s="253">
        <v>819.19896940127273</v>
      </c>
      <c r="S29" s="253">
        <v>914.61182589935879</v>
      </c>
      <c r="T29" s="253">
        <v>962</v>
      </c>
      <c r="U29" s="253">
        <v>1002.85501150281</v>
      </c>
      <c r="V29" s="253">
        <v>799.09438465599987</v>
      </c>
      <c r="W29" s="253">
        <v>731.57260185200005</v>
      </c>
      <c r="X29" s="253">
        <v>798.36288313852606</v>
      </c>
      <c r="Y29" s="253">
        <f t="shared" si="2"/>
        <v>769.19101319384788</v>
      </c>
      <c r="Z29" s="253"/>
      <c r="AB29" s="253">
        <v>779.51939808046086</v>
      </c>
      <c r="AC29" s="253">
        <v>771.8353273686231</v>
      </c>
      <c r="AD29" s="253">
        <v>787.49030366629916</v>
      </c>
      <c r="AE29" s="253">
        <v>769.19101319384788</v>
      </c>
      <c r="AF29" s="253">
        <v>806.20992811633892</v>
      </c>
      <c r="AG29" s="253"/>
      <c r="AH29" s="253"/>
      <c r="AI29" s="253"/>
    </row>
    <row r="30" spans="1:44" x14ac:dyDescent="0.25">
      <c r="B30" s="15" t="s">
        <v>382</v>
      </c>
      <c r="C30" s="103" t="s">
        <v>17</v>
      </c>
      <c r="D30" s="103" t="s">
        <v>17</v>
      </c>
      <c r="E30" s="103" t="s">
        <v>17</v>
      </c>
      <c r="F30" s="103" t="s">
        <v>17</v>
      </c>
      <c r="G30" s="253">
        <v>4855.2935734592511</v>
      </c>
      <c r="H30" s="253">
        <v>6064.6560000000009</v>
      </c>
      <c r="I30" s="253">
        <v>10950.571110000001</v>
      </c>
      <c r="J30" s="253">
        <v>11496.194</v>
      </c>
      <c r="K30" s="253">
        <v>12900.241</v>
      </c>
      <c r="L30" s="253">
        <v>10524.982</v>
      </c>
      <c r="M30" s="253">
        <v>5572.7650000000003</v>
      </c>
      <c r="N30" s="253">
        <v>5357.1120000000001</v>
      </c>
      <c r="O30" s="253">
        <v>5620.9539999999997</v>
      </c>
      <c r="P30" s="253">
        <v>5217.3500000000004</v>
      </c>
      <c r="Q30" s="253">
        <v>5546.7879999999996</v>
      </c>
      <c r="R30" s="253">
        <v>5907.2709999999997</v>
      </c>
      <c r="S30" s="253">
        <v>6208.232</v>
      </c>
      <c r="T30" s="253">
        <v>6746.3109999999997</v>
      </c>
      <c r="U30" s="253">
        <v>7383.6419999999998</v>
      </c>
      <c r="V30" s="253">
        <v>7990.9552249999997</v>
      </c>
      <c r="W30" s="253">
        <v>14036.077377470005</v>
      </c>
      <c r="X30" s="253">
        <v>18577.811175636714</v>
      </c>
      <c r="Y30" s="253">
        <f t="shared" si="2"/>
        <v>13279.459132475156</v>
      </c>
      <c r="Z30" s="253"/>
      <c r="AB30" s="253">
        <v>15496.868469005065</v>
      </c>
      <c r="AC30" s="253">
        <v>14338.949478917391</v>
      </c>
      <c r="AD30" s="253">
        <v>13854.740556317967</v>
      </c>
      <c r="AE30" s="253">
        <v>13279.459132475156</v>
      </c>
      <c r="AF30" s="253">
        <v>12057.442078083166</v>
      </c>
      <c r="AG30" s="253"/>
      <c r="AH30" s="253"/>
      <c r="AI30" s="253"/>
    </row>
    <row r="31" spans="1:44" s="56" customFormat="1" x14ac:dyDescent="0.25">
      <c r="A31"/>
      <c r="B31" s="17" t="s">
        <v>383</v>
      </c>
      <c r="C31" s="102" t="s">
        <v>17</v>
      </c>
      <c r="D31" s="102" t="s">
        <v>17</v>
      </c>
      <c r="E31" s="102" t="s">
        <v>17</v>
      </c>
      <c r="F31" s="102" t="s">
        <v>17</v>
      </c>
      <c r="G31" s="271" t="s">
        <v>17</v>
      </c>
      <c r="H31" s="271" t="s">
        <v>17</v>
      </c>
      <c r="I31" s="271" t="s">
        <v>17</v>
      </c>
      <c r="J31" s="271" t="s">
        <v>17</v>
      </c>
      <c r="K31" s="271" t="s">
        <v>17</v>
      </c>
      <c r="L31" s="271" t="s">
        <v>17</v>
      </c>
      <c r="M31" s="271" t="s">
        <v>17</v>
      </c>
      <c r="N31" s="271" t="s">
        <v>17</v>
      </c>
      <c r="O31" s="271" t="s">
        <v>17</v>
      </c>
      <c r="P31" s="271" t="s">
        <v>17</v>
      </c>
      <c r="Q31" s="271" t="s">
        <v>17</v>
      </c>
      <c r="R31" s="270" t="s">
        <v>17</v>
      </c>
      <c r="S31" s="271" t="s">
        <v>17</v>
      </c>
      <c r="T31" s="271" t="s">
        <v>17</v>
      </c>
      <c r="U31" s="272" t="s">
        <v>17</v>
      </c>
      <c r="V31" s="272">
        <v>1055.6775510909999</v>
      </c>
      <c r="W31" s="270">
        <v>1049.4481511840002</v>
      </c>
      <c r="X31" s="270">
        <v>1387.7924409182303</v>
      </c>
      <c r="Y31" s="270">
        <f t="shared" si="2"/>
        <v>1312.7302775574331</v>
      </c>
      <c r="Z31" s="270"/>
      <c r="AA31" s="273"/>
      <c r="AB31" s="270">
        <v>1373.5698368327553</v>
      </c>
      <c r="AC31" s="270">
        <v>1357.9660853476248</v>
      </c>
      <c r="AD31" s="270">
        <v>1423.9437761743091</v>
      </c>
      <c r="AE31" s="270">
        <v>1312.7302775574331</v>
      </c>
      <c r="AF31" s="270">
        <v>1310.8528404789392</v>
      </c>
      <c r="AG31" s="270"/>
      <c r="AH31" s="270"/>
      <c r="AI31" s="270"/>
      <c r="AJ31" s="247"/>
      <c r="AK31" s="247"/>
      <c r="AL31" s="247"/>
      <c r="AM31" s="247"/>
      <c r="AN31" s="247"/>
      <c r="AO31" s="247"/>
      <c r="AP31" s="247"/>
      <c r="AQ31" s="247"/>
      <c r="AR31" s="247"/>
    </row>
    <row r="32" spans="1:44" x14ac:dyDescent="0.25">
      <c r="B32" s="66" t="s">
        <v>329</v>
      </c>
      <c r="C32" s="139" t="s">
        <v>17</v>
      </c>
      <c r="D32" s="139" t="s">
        <v>17</v>
      </c>
      <c r="E32" s="139" t="s">
        <v>17</v>
      </c>
      <c r="F32" s="139" t="s">
        <v>17</v>
      </c>
      <c r="G32" s="269">
        <v>17921.80960645925</v>
      </c>
      <c r="H32" s="269">
        <v>18934.007999999998</v>
      </c>
      <c r="I32" s="269">
        <v>24620.720560000002</v>
      </c>
      <c r="J32" s="269">
        <v>27162.184999999998</v>
      </c>
      <c r="K32" s="269">
        <v>30282.868999999999</v>
      </c>
      <c r="L32" s="269">
        <v>29703.894</v>
      </c>
      <c r="M32" s="269">
        <v>29880.850043955437</v>
      </c>
      <c r="N32" s="269">
        <v>31196.176501767084</v>
      </c>
      <c r="O32" s="269">
        <v>30537.635339030036</v>
      </c>
      <c r="P32" s="269">
        <v>30903.872662364585</v>
      </c>
      <c r="Q32" s="269">
        <v>30415.473945758265</v>
      </c>
      <c r="R32" s="269">
        <v>30347.373411397639</v>
      </c>
      <c r="S32" s="269">
        <v>28594.787752137752</v>
      </c>
      <c r="T32" s="269">
        <v>28726.633000000002</v>
      </c>
      <c r="U32" s="269">
        <v>29729.632999999998</v>
      </c>
      <c r="V32" s="269">
        <v>30200.442214000002</v>
      </c>
      <c r="W32" s="269">
        <v>37016.586977599029</v>
      </c>
      <c r="X32" s="269">
        <v>44981.803195678927</v>
      </c>
      <c r="Y32" s="269">
        <f t="shared" si="2"/>
        <v>40039.871702296477</v>
      </c>
      <c r="Z32" s="269"/>
      <c r="AB32" s="269">
        <v>41314.373551453144</v>
      </c>
      <c r="AC32" s="269">
        <v>41369.035952482809</v>
      </c>
      <c r="AD32" s="269">
        <v>41235.852339311707</v>
      </c>
      <c r="AE32" s="269">
        <v>40039.871702296477</v>
      </c>
      <c r="AF32" s="269">
        <v>38700.974067487579</v>
      </c>
      <c r="AG32" s="269"/>
      <c r="AH32" s="269"/>
      <c r="AI32" s="269"/>
    </row>
    <row r="33" spans="2:44" x14ac:dyDescent="0.25">
      <c r="B33" s="24"/>
      <c r="C33" s="26"/>
      <c r="D33" s="26"/>
      <c r="E33" s="26"/>
      <c r="F33" s="26"/>
      <c r="G33" s="260"/>
      <c r="H33" s="260"/>
      <c r="I33" s="260"/>
      <c r="J33" s="260"/>
      <c r="K33" s="260"/>
      <c r="L33" s="260"/>
      <c r="M33" s="269"/>
      <c r="N33" s="269"/>
      <c r="O33" s="260"/>
      <c r="P33" s="260"/>
      <c r="Q33" s="260"/>
      <c r="R33" s="260"/>
      <c r="S33" s="260"/>
      <c r="T33" s="274"/>
      <c r="U33" s="274"/>
      <c r="V33" s="274"/>
      <c r="W33" s="70"/>
      <c r="X33" s="70"/>
      <c r="AE33" s="70"/>
      <c r="AF33" s="70"/>
      <c r="AI33" s="70"/>
    </row>
    <row r="34" spans="2:44" x14ac:dyDescent="0.25">
      <c r="B34" s="66" t="s">
        <v>384</v>
      </c>
      <c r="C34" s="139" t="s">
        <v>17</v>
      </c>
      <c r="D34" s="139" t="s">
        <v>17</v>
      </c>
      <c r="E34" s="139" t="s">
        <v>17</v>
      </c>
      <c r="F34" s="139" t="s">
        <v>17</v>
      </c>
      <c r="G34" s="269">
        <v>24032.974931459248</v>
      </c>
      <c r="H34" s="269">
        <v>25407.112999999998</v>
      </c>
      <c r="I34" s="269">
        <v>31871.49267</v>
      </c>
      <c r="J34" s="269">
        <v>35709.093999999997</v>
      </c>
      <c r="K34" s="269">
        <v>40261.557000000001</v>
      </c>
      <c r="L34" s="269">
        <v>40488.853000000003</v>
      </c>
      <c r="M34" s="269">
        <v>41267.629043955436</v>
      </c>
      <c r="N34" s="269">
        <v>42627.844501767082</v>
      </c>
      <c r="O34" s="269">
        <v>42065.537339030037</v>
      </c>
      <c r="P34" s="269">
        <v>42873.016662364585</v>
      </c>
      <c r="Q34" s="269">
        <v>42536.966945758264</v>
      </c>
      <c r="R34" s="269">
        <v>44083.745411397642</v>
      </c>
      <c r="S34" s="269">
        <v>42075.047752137754</v>
      </c>
      <c r="T34" s="275">
        <v>41626.959999999999</v>
      </c>
      <c r="U34" s="275">
        <v>42361.645999999993</v>
      </c>
      <c r="V34" s="275">
        <v>43271.417815000001</v>
      </c>
      <c r="W34" s="275">
        <v>50994.152256525107</v>
      </c>
      <c r="X34" s="275">
        <v>58816.410701417772</v>
      </c>
      <c r="Y34" s="275">
        <f>AE34</f>
        <v>56696.674235149447</v>
      </c>
      <c r="Z34" s="275"/>
      <c r="AB34" s="275">
        <v>58165.76985442578</v>
      </c>
      <c r="AC34" s="275">
        <v>58000.16568391669</v>
      </c>
      <c r="AD34" s="275">
        <v>57920.535854717979</v>
      </c>
      <c r="AE34" s="275">
        <v>56696.674235149447</v>
      </c>
      <c r="AF34" s="275">
        <v>55768.449458009483</v>
      </c>
      <c r="AG34" s="275"/>
      <c r="AH34" s="275"/>
      <c r="AI34" s="275"/>
    </row>
    <row r="35" spans="2:44" x14ac:dyDescent="0.25">
      <c r="B35" s="24"/>
      <c r="C35" s="59"/>
      <c r="D35" s="59"/>
      <c r="E35" s="59"/>
      <c r="F35" s="59"/>
      <c r="G35" s="236"/>
      <c r="H35" s="236"/>
      <c r="I35" s="236"/>
      <c r="J35" s="236"/>
      <c r="K35" s="236"/>
      <c r="L35" s="236"/>
      <c r="M35" s="236"/>
      <c r="N35" s="236"/>
      <c r="O35" s="236"/>
      <c r="P35" s="236"/>
      <c r="Q35" s="236"/>
      <c r="R35" s="236"/>
      <c r="S35" s="236"/>
      <c r="T35" s="236"/>
      <c r="U35" s="236"/>
      <c r="V35" s="236"/>
      <c r="W35" s="60"/>
      <c r="X35" s="60"/>
      <c r="Y35" s="60"/>
      <c r="Z35" s="60"/>
      <c r="AB35" s="236"/>
      <c r="AC35" s="236"/>
      <c r="AD35" s="69"/>
      <c r="AE35" s="69"/>
      <c r="AF35" s="236"/>
      <c r="AG35" s="236"/>
      <c r="AH35" s="69"/>
      <c r="AI35" s="69"/>
    </row>
    <row r="36" spans="2:44" x14ac:dyDescent="0.25">
      <c r="B36" s="168" t="s">
        <v>238</v>
      </c>
      <c r="C36" s="61">
        <v>2001</v>
      </c>
      <c r="D36" s="61">
        <v>2002</v>
      </c>
      <c r="E36" s="61">
        <v>2003</v>
      </c>
      <c r="F36" s="61">
        <v>2004</v>
      </c>
      <c r="G36" s="228">
        <v>2005</v>
      </c>
      <c r="H36" s="228">
        <v>2006</v>
      </c>
      <c r="I36" s="228">
        <v>2007</v>
      </c>
      <c r="J36" s="228">
        <v>2008</v>
      </c>
      <c r="K36" s="228">
        <v>2009</v>
      </c>
      <c r="L36" s="228">
        <v>2010</v>
      </c>
      <c r="M36" s="228">
        <v>2011</v>
      </c>
      <c r="N36" s="228">
        <v>2012</v>
      </c>
      <c r="O36" s="228">
        <v>2013</v>
      </c>
      <c r="P36" s="228">
        <v>2014</v>
      </c>
      <c r="Q36" s="228">
        <v>2015</v>
      </c>
      <c r="R36" s="228">
        <v>2016</v>
      </c>
      <c r="S36" s="228">
        <v>2017</v>
      </c>
      <c r="T36" s="228">
        <v>2018</v>
      </c>
      <c r="U36" s="228">
        <v>2019</v>
      </c>
      <c r="V36" s="228">
        <v>2020</v>
      </c>
      <c r="W36" s="228">
        <v>2021</v>
      </c>
      <c r="X36" s="228">
        <v>2022</v>
      </c>
      <c r="Y36" s="229">
        <v>2023</v>
      </c>
      <c r="Z36" s="230">
        <v>2024</v>
      </c>
      <c r="AB36" s="231" t="s">
        <v>291</v>
      </c>
      <c r="AC36" s="231" t="s">
        <v>292</v>
      </c>
      <c r="AD36" s="231" t="s">
        <v>293</v>
      </c>
      <c r="AE36" s="231">
        <v>2023</v>
      </c>
      <c r="AF36" s="232" t="s">
        <v>318</v>
      </c>
      <c r="AG36" s="232" t="s">
        <v>319</v>
      </c>
      <c r="AH36" s="232" t="s">
        <v>320</v>
      </c>
      <c r="AI36" s="232">
        <v>2024</v>
      </c>
    </row>
    <row r="37" spans="2:44" x14ac:dyDescent="0.25">
      <c r="B37" s="5" t="s">
        <v>385</v>
      </c>
      <c r="C37" s="26" t="str">
        <f t="shared" ref="C37:O37" si="3">C25</f>
        <v>-</v>
      </c>
      <c r="D37" s="26" t="str">
        <f t="shared" si="3"/>
        <v>-</v>
      </c>
      <c r="E37" s="26" t="str">
        <f t="shared" si="3"/>
        <v>-</v>
      </c>
      <c r="F37" s="26" t="str">
        <f t="shared" si="3"/>
        <v>-</v>
      </c>
      <c r="G37" s="260" t="str">
        <f t="shared" si="3"/>
        <v>-</v>
      </c>
      <c r="H37" s="260" t="str">
        <f t="shared" si="3"/>
        <v>-</v>
      </c>
      <c r="I37" s="260" t="str">
        <f t="shared" si="3"/>
        <v>-</v>
      </c>
      <c r="J37" s="260" t="str">
        <f t="shared" si="3"/>
        <v>-</v>
      </c>
      <c r="K37" s="260" t="str">
        <f t="shared" si="3"/>
        <v>-</v>
      </c>
      <c r="L37" s="260" t="str">
        <f t="shared" si="3"/>
        <v>-</v>
      </c>
      <c r="M37" s="260">
        <f t="shared" si="3"/>
        <v>1823.157802950175</v>
      </c>
      <c r="N37" s="260">
        <f t="shared" si="3"/>
        <v>1933.425279726767</v>
      </c>
      <c r="O37" s="260">
        <f t="shared" si="3"/>
        <v>1934.535057556641</v>
      </c>
      <c r="P37" s="260">
        <f>P25</f>
        <v>1880.272739681084</v>
      </c>
      <c r="Q37" s="260">
        <f>Q38+Q39</f>
        <v>1823</v>
      </c>
      <c r="R37" s="260">
        <f>R38+R39</f>
        <v>1727</v>
      </c>
      <c r="S37" s="260">
        <f>S38+S39</f>
        <v>1522</v>
      </c>
      <c r="T37" s="260">
        <v>1407.30153885963</v>
      </c>
      <c r="U37" s="260">
        <v>1311.6686975998568</v>
      </c>
      <c r="V37" s="260">
        <v>1342.3034143379996</v>
      </c>
      <c r="W37" s="260">
        <v>1119.7999979480001</v>
      </c>
      <c r="X37" s="260">
        <v>771.06640853061401</v>
      </c>
      <c r="Y37" s="260">
        <f>AE37</f>
        <v>664.86828014836419</v>
      </c>
      <c r="Z37" s="260"/>
      <c r="AA37" s="260"/>
      <c r="AB37" s="260">
        <v>751.73485800130925</v>
      </c>
      <c r="AC37" s="260">
        <v>752.81757576672408</v>
      </c>
      <c r="AD37" s="260">
        <v>713.51414907676508</v>
      </c>
      <c r="AE37" s="260">
        <v>664.86828014836419</v>
      </c>
      <c r="AF37" s="260">
        <v>639.84006142708802</v>
      </c>
      <c r="AG37" s="260"/>
      <c r="AH37" s="260"/>
      <c r="AI37" s="260"/>
    </row>
    <row r="38" spans="2:44" x14ac:dyDescent="0.25">
      <c r="B38" s="19" t="s">
        <v>386</v>
      </c>
      <c r="C38" s="103" t="s">
        <v>17</v>
      </c>
      <c r="D38" s="103" t="s">
        <v>17</v>
      </c>
      <c r="E38" s="103" t="s">
        <v>17</v>
      </c>
      <c r="F38" s="103" t="s">
        <v>17</v>
      </c>
      <c r="G38" s="268" t="s">
        <v>17</v>
      </c>
      <c r="H38" s="268" t="s">
        <v>17</v>
      </c>
      <c r="I38" s="268" t="s">
        <v>17</v>
      </c>
      <c r="J38" s="268" t="s">
        <v>17</v>
      </c>
      <c r="K38" s="268" t="s">
        <v>17</v>
      </c>
      <c r="L38" s="268" t="s">
        <v>17</v>
      </c>
      <c r="M38" s="268" t="s">
        <v>17</v>
      </c>
      <c r="N38" s="268" t="s">
        <v>17</v>
      </c>
      <c r="O38" s="268" t="s">
        <v>17</v>
      </c>
      <c r="P38" s="268" t="s">
        <v>17</v>
      </c>
      <c r="Q38" s="253">
        <v>883</v>
      </c>
      <c r="R38" s="253">
        <v>815</v>
      </c>
      <c r="S38" s="253">
        <v>763</v>
      </c>
      <c r="T38" s="253">
        <v>759.37628209599393</v>
      </c>
      <c r="U38" s="253">
        <v>630.79007465089001</v>
      </c>
      <c r="V38" s="253">
        <v>629.60840012200003</v>
      </c>
      <c r="W38" s="253">
        <v>518.73377626399997</v>
      </c>
      <c r="X38" s="253">
        <v>344.13571245563401</v>
      </c>
      <c r="Y38" s="253">
        <f>AE38</f>
        <v>259.77686175843803</v>
      </c>
      <c r="Z38" s="253"/>
      <c r="AA38" s="260"/>
      <c r="AB38" s="253">
        <v>326.954694324017</v>
      </c>
      <c r="AC38" s="253">
        <v>329.19467479697704</v>
      </c>
      <c r="AD38" s="253">
        <v>303.32826168606005</v>
      </c>
      <c r="AE38" s="253">
        <v>259.77686175843803</v>
      </c>
      <c r="AF38" s="253">
        <v>246.50562975577597</v>
      </c>
      <c r="AG38" s="253"/>
      <c r="AH38" s="253"/>
      <c r="AI38" s="253"/>
    </row>
    <row r="39" spans="2:44" x14ac:dyDescent="0.25">
      <c r="B39" s="19" t="s">
        <v>387</v>
      </c>
      <c r="C39" s="103" t="s">
        <v>17</v>
      </c>
      <c r="D39" s="103" t="s">
        <v>17</v>
      </c>
      <c r="E39" s="103" t="s">
        <v>17</v>
      </c>
      <c r="F39" s="103" t="s">
        <v>17</v>
      </c>
      <c r="G39" s="268" t="s">
        <v>17</v>
      </c>
      <c r="H39" s="268" t="s">
        <v>17</v>
      </c>
      <c r="I39" s="268" t="s">
        <v>17</v>
      </c>
      <c r="J39" s="268" t="s">
        <v>17</v>
      </c>
      <c r="K39" s="268" t="s">
        <v>17</v>
      </c>
      <c r="L39" s="268" t="s">
        <v>17</v>
      </c>
      <c r="M39" s="268" t="s">
        <v>17</v>
      </c>
      <c r="N39" s="268" t="s">
        <v>17</v>
      </c>
      <c r="O39" s="268" t="s">
        <v>17</v>
      </c>
      <c r="P39" s="268" t="s">
        <v>17</v>
      </c>
      <c r="Q39" s="253">
        <v>940</v>
      </c>
      <c r="R39" s="253">
        <v>912</v>
      </c>
      <c r="S39" s="253">
        <v>759</v>
      </c>
      <c r="T39" s="253">
        <v>647.92525676363596</v>
      </c>
      <c r="U39" s="253">
        <v>680.87862294896695</v>
      </c>
      <c r="V39" s="253">
        <v>712.69501421600012</v>
      </c>
      <c r="W39" s="253">
        <v>601.06622168400008</v>
      </c>
      <c r="X39" s="253">
        <v>426.93069607498001</v>
      </c>
      <c r="Y39" s="253">
        <f>AE39</f>
        <v>405.09141838992605</v>
      </c>
      <c r="Z39" s="253"/>
      <c r="AA39" s="260"/>
      <c r="AB39" s="253">
        <v>424.78016367729208</v>
      </c>
      <c r="AC39" s="253">
        <v>423.62290096974704</v>
      </c>
      <c r="AD39" s="253">
        <v>410.18588739070498</v>
      </c>
      <c r="AE39" s="253">
        <v>405.09141838992605</v>
      </c>
      <c r="AF39" s="253">
        <v>393.33443167131196</v>
      </c>
      <c r="AG39" s="253"/>
      <c r="AH39" s="253"/>
      <c r="AI39" s="253"/>
    </row>
    <row r="40" spans="2:44" x14ac:dyDescent="0.25">
      <c r="B40" s="5" t="s">
        <v>388</v>
      </c>
      <c r="C40" s="104" t="s">
        <v>17</v>
      </c>
      <c r="D40" s="104" t="s">
        <v>17</v>
      </c>
      <c r="E40" s="104" t="s">
        <v>17</v>
      </c>
      <c r="F40" s="104" t="s">
        <v>17</v>
      </c>
      <c r="G40" s="276" t="s">
        <v>17</v>
      </c>
      <c r="H40" s="276" t="s">
        <v>17</v>
      </c>
      <c r="I40" s="276" t="s">
        <v>17</v>
      </c>
      <c r="J40" s="276" t="s">
        <v>17</v>
      </c>
      <c r="K40" s="276" t="s">
        <v>17</v>
      </c>
      <c r="L40" s="276" t="s">
        <v>17</v>
      </c>
      <c r="M40" s="276" t="s">
        <v>17</v>
      </c>
      <c r="N40" s="276" t="s">
        <v>17</v>
      </c>
      <c r="O40" s="276" t="s">
        <v>17</v>
      </c>
      <c r="P40" s="276" t="s">
        <v>17</v>
      </c>
      <c r="Q40" s="276" t="s">
        <v>17</v>
      </c>
      <c r="R40" s="276" t="s">
        <v>17</v>
      </c>
      <c r="S40" s="276" t="s">
        <v>17</v>
      </c>
      <c r="T40" s="260">
        <v>-421.88252052417539</v>
      </c>
      <c r="U40" s="260">
        <v>-403.814680189895</v>
      </c>
      <c r="V40" s="260">
        <v>-319.26383837216895</v>
      </c>
      <c r="W40" s="260">
        <v>-319.26383837216895</v>
      </c>
      <c r="X40" s="260">
        <v>-191.30587572741837</v>
      </c>
      <c r="Y40" s="260">
        <f>AE40</f>
        <v>-143.6970177998565</v>
      </c>
      <c r="Z40" s="260"/>
      <c r="AA40" s="260"/>
      <c r="AB40" s="260">
        <v>-199.49311537640102</v>
      </c>
      <c r="AC40" s="260">
        <v>-195.3005191850375</v>
      </c>
      <c r="AD40" s="260">
        <v>-186.74080205229305</v>
      </c>
      <c r="AE40" s="260">
        <v>-143.6970177998565</v>
      </c>
      <c r="AF40" s="260">
        <v>-155.1046690578336</v>
      </c>
      <c r="AG40" s="260"/>
      <c r="AH40" s="260"/>
      <c r="AI40" s="260"/>
    </row>
    <row r="41" spans="2:44" x14ac:dyDescent="0.25">
      <c r="B41" s="66" t="s">
        <v>330</v>
      </c>
      <c r="C41" s="139" t="s">
        <v>17</v>
      </c>
      <c r="D41" s="139" t="s">
        <v>17</v>
      </c>
      <c r="E41" s="139" t="s">
        <v>17</v>
      </c>
      <c r="F41" s="139" t="s">
        <v>17</v>
      </c>
      <c r="G41" s="277" t="s">
        <v>17</v>
      </c>
      <c r="H41" s="277" t="s">
        <v>17</v>
      </c>
      <c r="I41" s="277" t="s">
        <v>17</v>
      </c>
      <c r="J41" s="277" t="s">
        <v>17</v>
      </c>
      <c r="K41" s="277" t="s">
        <v>17</v>
      </c>
      <c r="L41" s="277" t="s">
        <v>17</v>
      </c>
      <c r="M41" s="277" t="s">
        <v>17</v>
      </c>
      <c r="N41" s="277" t="s">
        <v>17</v>
      </c>
      <c r="O41" s="277" t="s">
        <v>17</v>
      </c>
      <c r="P41" s="277" t="s">
        <v>17</v>
      </c>
      <c r="Q41" s="277" t="s">
        <v>17</v>
      </c>
      <c r="R41" s="277" t="s">
        <v>17</v>
      </c>
      <c r="S41" s="277" t="s">
        <v>17</v>
      </c>
      <c r="T41" s="269">
        <v>985.41901833545467</v>
      </c>
      <c r="U41" s="269">
        <v>907.8540174099619</v>
      </c>
      <c r="V41" s="269">
        <v>1023.0395759658306</v>
      </c>
      <c r="W41" s="269">
        <v>800.53615957583065</v>
      </c>
      <c r="X41" s="269">
        <v>579.7605328031957</v>
      </c>
      <c r="Y41" s="269">
        <f>AE41</f>
        <v>521.17126234850775</v>
      </c>
      <c r="Z41" s="269"/>
      <c r="AA41" s="260"/>
      <c r="AB41" s="269">
        <v>552.24174262490828</v>
      </c>
      <c r="AC41" s="269">
        <v>557.51705658168657</v>
      </c>
      <c r="AD41" s="269">
        <v>526.77334702447206</v>
      </c>
      <c r="AE41" s="269">
        <v>521.17126234850775</v>
      </c>
      <c r="AF41" s="269">
        <v>484.73539236925444</v>
      </c>
      <c r="AG41" s="269"/>
      <c r="AH41" s="269"/>
      <c r="AI41" s="269"/>
    </row>
    <row r="42" spans="2:44" x14ac:dyDescent="0.25">
      <c r="B42" s="24"/>
      <c r="C42" s="59"/>
      <c r="D42" s="59"/>
      <c r="E42" s="59"/>
      <c r="F42" s="59"/>
      <c r="G42" s="236"/>
      <c r="H42" s="236"/>
      <c r="I42" s="236"/>
      <c r="J42" s="236"/>
      <c r="K42" s="236"/>
      <c r="L42" s="236"/>
      <c r="M42" s="236"/>
      <c r="N42" s="236"/>
      <c r="O42" s="236"/>
      <c r="P42" s="236"/>
      <c r="Q42" s="236"/>
      <c r="R42" s="236"/>
      <c r="S42" s="236"/>
      <c r="T42" s="236"/>
      <c r="U42" s="236"/>
      <c r="V42" s="278"/>
      <c r="W42" s="60"/>
      <c r="X42" s="60"/>
      <c r="Y42" s="60"/>
      <c r="Z42" s="60"/>
      <c r="AB42" s="236"/>
      <c r="AC42" s="236"/>
      <c r="AD42" s="69"/>
      <c r="AE42" s="69"/>
      <c r="AF42" s="236"/>
      <c r="AG42" s="236"/>
      <c r="AH42" s="69"/>
      <c r="AI42" s="69"/>
    </row>
    <row r="43" spans="2:44" x14ac:dyDescent="0.25">
      <c r="B43" s="165" t="s">
        <v>389</v>
      </c>
      <c r="C43" s="61">
        <v>2001</v>
      </c>
      <c r="D43" s="61">
        <v>2002</v>
      </c>
      <c r="E43" s="61">
        <v>2003</v>
      </c>
      <c r="F43" s="61">
        <v>2004</v>
      </c>
      <c r="G43" s="228">
        <v>2005</v>
      </c>
      <c r="H43" s="228">
        <v>2006</v>
      </c>
      <c r="I43" s="228">
        <v>2007</v>
      </c>
      <c r="J43" s="228">
        <v>2008</v>
      </c>
      <c r="K43" s="228">
        <v>2009</v>
      </c>
      <c r="L43" s="228">
        <v>2010</v>
      </c>
      <c r="M43" s="228">
        <v>2011</v>
      </c>
      <c r="N43" s="228">
        <v>2012</v>
      </c>
      <c r="O43" s="228">
        <v>2013</v>
      </c>
      <c r="P43" s="228">
        <v>2014</v>
      </c>
      <c r="Q43" s="228">
        <v>2015</v>
      </c>
      <c r="R43" s="228">
        <v>2016</v>
      </c>
      <c r="S43" s="228">
        <v>2017</v>
      </c>
      <c r="T43" s="228">
        <v>2018</v>
      </c>
      <c r="U43" s="228">
        <v>2019</v>
      </c>
      <c r="V43" s="228">
        <v>2020</v>
      </c>
      <c r="W43" s="228">
        <v>2021</v>
      </c>
      <c r="X43" s="228">
        <v>2022</v>
      </c>
      <c r="Y43" s="229">
        <v>2023</v>
      </c>
      <c r="Z43" s="230">
        <v>2024</v>
      </c>
      <c r="AB43" s="231" t="s">
        <v>291</v>
      </c>
      <c r="AC43" s="231" t="s">
        <v>292</v>
      </c>
      <c r="AD43" s="231" t="s">
        <v>293</v>
      </c>
      <c r="AE43" s="231">
        <v>2023</v>
      </c>
      <c r="AF43" s="232" t="s">
        <v>318</v>
      </c>
      <c r="AG43" s="232" t="s">
        <v>319</v>
      </c>
      <c r="AH43" s="232" t="s">
        <v>320</v>
      </c>
      <c r="AI43" s="232">
        <v>2024</v>
      </c>
    </row>
    <row r="44" spans="2:44" x14ac:dyDescent="0.25">
      <c r="B44" s="5" t="s">
        <v>390</v>
      </c>
      <c r="C44" s="26" t="str">
        <f t="shared" ref="C44:P44" si="4">IFERROR(C45+C46,"-")</f>
        <v>-</v>
      </c>
      <c r="D44" s="26" t="str">
        <f t="shared" si="4"/>
        <v>-</v>
      </c>
      <c r="E44" s="26" t="str">
        <f t="shared" si="4"/>
        <v>-</v>
      </c>
      <c r="F44" s="26" t="str">
        <f t="shared" si="4"/>
        <v>-</v>
      </c>
      <c r="G44" s="260" t="str">
        <f t="shared" si="4"/>
        <v>-</v>
      </c>
      <c r="H44" s="260" t="str">
        <f t="shared" si="4"/>
        <v>-</v>
      </c>
      <c r="I44" s="260" t="str">
        <f t="shared" si="4"/>
        <v>-</v>
      </c>
      <c r="J44" s="260" t="str">
        <f t="shared" si="4"/>
        <v>-</v>
      </c>
      <c r="K44" s="260" t="str">
        <f t="shared" si="4"/>
        <v>-</v>
      </c>
      <c r="L44" s="260" t="str">
        <f t="shared" si="4"/>
        <v>-</v>
      </c>
      <c r="M44" s="260">
        <f t="shared" si="4"/>
        <v>1647.4830050345663</v>
      </c>
      <c r="N44" s="260">
        <f t="shared" si="4"/>
        <v>2710.0890489276271</v>
      </c>
      <c r="O44" s="260">
        <f t="shared" si="4"/>
        <v>2747.1076260981158</v>
      </c>
      <c r="P44" s="260">
        <f t="shared" si="4"/>
        <v>2504.0121928119938</v>
      </c>
      <c r="Q44" s="260">
        <f>IFERROR(Q45+Q46,"-")</f>
        <v>2476.854857304585</v>
      </c>
      <c r="R44" s="260">
        <v>951</v>
      </c>
      <c r="S44" s="260">
        <v>870</v>
      </c>
      <c r="T44" s="260">
        <v>287.400013248839</v>
      </c>
      <c r="U44" s="260">
        <v>369.86977576595979</v>
      </c>
      <c r="V44" s="260">
        <v>382</v>
      </c>
      <c r="W44" s="260">
        <f>W45+W46</f>
        <v>-426.54127139247367</v>
      </c>
      <c r="X44" s="260">
        <v>-569.83951757448938</v>
      </c>
      <c r="Y44" s="260">
        <f>+AE44</f>
        <v>-164.69192552093719</v>
      </c>
      <c r="Z44" s="260"/>
      <c r="AB44" s="260">
        <v>-119.68736973036165</v>
      </c>
      <c r="AC44" s="260">
        <v>747.15598907216554</v>
      </c>
      <c r="AD44" s="260">
        <v>1075.3547523610464</v>
      </c>
      <c r="AE44" s="260">
        <v>-164.69192552093719</v>
      </c>
      <c r="AF44" s="260">
        <v>81.569498397723635</v>
      </c>
      <c r="AG44" s="260"/>
      <c r="AH44" s="260"/>
      <c r="AI44" s="260"/>
    </row>
    <row r="45" spans="2:44" x14ac:dyDescent="0.25">
      <c r="B45" s="13" t="s">
        <v>125</v>
      </c>
      <c r="C45" s="103" t="s">
        <v>17</v>
      </c>
      <c r="D45" s="103" t="s">
        <v>17</v>
      </c>
      <c r="E45" s="103" t="s">
        <v>17</v>
      </c>
      <c r="F45" s="103" t="s">
        <v>17</v>
      </c>
      <c r="G45" s="268" t="s">
        <v>17</v>
      </c>
      <c r="H45" s="268" t="s">
        <v>17</v>
      </c>
      <c r="I45" s="268" t="s">
        <v>17</v>
      </c>
      <c r="J45" s="268" t="s">
        <v>17</v>
      </c>
      <c r="K45" s="268" t="s">
        <v>17</v>
      </c>
      <c r="L45" s="268" t="s">
        <v>17</v>
      </c>
      <c r="M45" s="253">
        <v>1643.2671848433333</v>
      </c>
      <c r="N45" s="253">
        <v>2620.9721447900006</v>
      </c>
      <c r="O45" s="253">
        <v>2686.1370897200004</v>
      </c>
      <c r="P45" s="253">
        <v>2317.2388527809285</v>
      </c>
      <c r="Q45" s="253">
        <v>2306.4241927782841</v>
      </c>
      <c r="R45" s="253">
        <f>744+253+68</f>
        <v>1065</v>
      </c>
      <c r="S45" s="253">
        <f>608+236</f>
        <v>844</v>
      </c>
      <c r="T45" s="253">
        <v>216.38723736</v>
      </c>
      <c r="U45" s="253">
        <v>366.10456792000014</v>
      </c>
      <c r="V45" s="253">
        <v>442.42860193999996</v>
      </c>
      <c r="W45" s="253">
        <v>-451.46474403999974</v>
      </c>
      <c r="X45" s="253">
        <v>-399.30906262999986</v>
      </c>
      <c r="Y45" s="253">
        <f>+AE45</f>
        <v>-20.690463869999888</v>
      </c>
      <c r="Z45" s="253"/>
      <c r="AB45" s="253">
        <v>61.629530460000169</v>
      </c>
      <c r="AC45" s="253">
        <v>926.6148328700001</v>
      </c>
      <c r="AD45" s="253">
        <v>1222.0452573700004</v>
      </c>
      <c r="AE45" s="253">
        <v>-20.690463869999888</v>
      </c>
      <c r="AF45" s="253">
        <v>251.91128142999992</v>
      </c>
      <c r="AG45" s="253"/>
      <c r="AH45" s="253"/>
      <c r="AI45" s="253"/>
    </row>
    <row r="46" spans="2:44" x14ac:dyDescent="0.25">
      <c r="B46" s="13" t="s">
        <v>239</v>
      </c>
      <c r="C46" s="103" t="s">
        <v>17</v>
      </c>
      <c r="D46" s="103" t="s">
        <v>17</v>
      </c>
      <c r="E46" s="103" t="s">
        <v>17</v>
      </c>
      <c r="F46" s="103" t="s">
        <v>17</v>
      </c>
      <c r="G46" s="268" t="s">
        <v>17</v>
      </c>
      <c r="H46" s="268" t="s">
        <v>17</v>
      </c>
      <c r="I46" s="268" t="s">
        <v>17</v>
      </c>
      <c r="J46" s="268" t="s">
        <v>17</v>
      </c>
      <c r="K46" s="268" t="s">
        <v>17</v>
      </c>
      <c r="L46" s="268" t="s">
        <v>17</v>
      </c>
      <c r="M46" s="253">
        <v>4.2158201912330817</v>
      </c>
      <c r="N46" s="253">
        <v>89.116904137626392</v>
      </c>
      <c r="O46" s="253">
        <v>60.970536378115227</v>
      </c>
      <c r="P46" s="253">
        <v>186.77334003106546</v>
      </c>
      <c r="Q46" s="253">
        <v>170.43066452630106</v>
      </c>
      <c r="R46" s="253">
        <f>-114</f>
        <v>-114</v>
      </c>
      <c r="S46" s="253">
        <v>26</v>
      </c>
      <c r="T46" s="253">
        <v>71.012775888838988</v>
      </c>
      <c r="U46" s="253">
        <v>3.765207845959671</v>
      </c>
      <c r="V46" s="253">
        <v>-60.654497715540899</v>
      </c>
      <c r="W46" s="253">
        <v>24.923472647526054</v>
      </c>
      <c r="X46" s="253">
        <v>-170.53045494448949</v>
      </c>
      <c r="Y46" s="253">
        <f>+AE46</f>
        <v>-144.0014616509373</v>
      </c>
      <c r="Z46" s="253"/>
      <c r="AB46" s="253">
        <v>-181.31690019036182</v>
      </c>
      <c r="AC46" s="253">
        <v>-179.45884379783459</v>
      </c>
      <c r="AD46" s="253">
        <v>-146.69050500895398</v>
      </c>
      <c r="AE46" s="253">
        <v>-144.0014616509373</v>
      </c>
      <c r="AF46" s="253">
        <v>-170.34178303227628</v>
      </c>
      <c r="AG46" s="253"/>
      <c r="AH46" s="253"/>
      <c r="AI46" s="253"/>
    </row>
    <row r="47" spans="2:44" x14ac:dyDescent="0.25">
      <c r="B47" s="5" t="s">
        <v>391</v>
      </c>
      <c r="C47" s="104" t="s">
        <v>17</v>
      </c>
      <c r="D47" s="104" t="s">
        <v>17</v>
      </c>
      <c r="E47" s="104" t="s">
        <v>17</v>
      </c>
      <c r="F47" s="104" t="s">
        <v>17</v>
      </c>
      <c r="G47" s="276" t="s">
        <v>17</v>
      </c>
      <c r="H47" s="276" t="s">
        <v>17</v>
      </c>
      <c r="I47" s="276" t="s">
        <v>17</v>
      </c>
      <c r="J47" s="276" t="s">
        <v>17</v>
      </c>
      <c r="K47" s="276" t="s">
        <v>17</v>
      </c>
      <c r="L47" s="276" t="s">
        <v>17</v>
      </c>
      <c r="M47" s="276" t="s">
        <v>17</v>
      </c>
      <c r="N47" s="276" t="s">
        <v>17</v>
      </c>
      <c r="O47" s="276" t="s">
        <v>17</v>
      </c>
      <c r="P47" s="276" t="s">
        <v>17</v>
      </c>
      <c r="Q47" s="276" t="s">
        <v>17</v>
      </c>
      <c r="R47" s="276" t="s">
        <v>17</v>
      </c>
      <c r="S47" s="260">
        <f>S48-S44</f>
        <v>-265</v>
      </c>
      <c r="T47" s="260">
        <v>-68.161979768399988</v>
      </c>
      <c r="U47" s="260">
        <v>-115.32293889480002</v>
      </c>
      <c r="V47" s="260">
        <v>-139.38381867375003</v>
      </c>
      <c r="W47" s="260">
        <v>142.21139437260004</v>
      </c>
      <c r="X47" s="260">
        <v>125.78235472845004</v>
      </c>
      <c r="Y47" s="260">
        <f>+AE47</f>
        <v>6.5174961190500031</v>
      </c>
      <c r="Z47" s="260"/>
      <c r="AB47" s="260">
        <v>-19.413302094899979</v>
      </c>
      <c r="AC47" s="260">
        <v>-19.413302094899979</v>
      </c>
      <c r="AD47" s="260">
        <v>-384.94425607154994</v>
      </c>
      <c r="AE47" s="260">
        <v>6.5174961190500031</v>
      </c>
      <c r="AF47" s="260">
        <v>-79.352053650449946</v>
      </c>
      <c r="AG47" s="260"/>
      <c r="AH47" s="260"/>
      <c r="AI47" s="260"/>
    </row>
    <row r="48" spans="2:44" s="6" customFormat="1" x14ac:dyDescent="0.25">
      <c r="B48" s="72" t="s">
        <v>331</v>
      </c>
      <c r="C48" s="139" t="s">
        <v>17</v>
      </c>
      <c r="D48" s="139" t="s">
        <v>17</v>
      </c>
      <c r="E48" s="139" t="s">
        <v>17</v>
      </c>
      <c r="F48" s="139" t="s">
        <v>17</v>
      </c>
      <c r="G48" s="277" t="s">
        <v>17</v>
      </c>
      <c r="H48" s="277" t="s">
        <v>17</v>
      </c>
      <c r="I48" s="277" t="s">
        <v>17</v>
      </c>
      <c r="J48" s="277" t="s">
        <v>17</v>
      </c>
      <c r="K48" s="277" t="s">
        <v>17</v>
      </c>
      <c r="L48" s="277" t="s">
        <v>17</v>
      </c>
      <c r="M48" s="277" t="s">
        <v>17</v>
      </c>
      <c r="N48" s="277" t="s">
        <v>17</v>
      </c>
      <c r="O48" s="277" t="s">
        <v>17</v>
      </c>
      <c r="P48" s="277" t="s">
        <v>17</v>
      </c>
      <c r="Q48" s="277" t="s">
        <v>17</v>
      </c>
      <c r="R48" s="277" t="s">
        <v>17</v>
      </c>
      <c r="S48" s="269">
        <v>605</v>
      </c>
      <c r="T48" s="269">
        <v>219.23803348043901</v>
      </c>
      <c r="U48" s="269">
        <v>254.54683687115977</v>
      </c>
      <c r="V48" s="269">
        <v>242</v>
      </c>
      <c r="W48" s="269">
        <v>-284.32987701987361</v>
      </c>
      <c r="X48" s="269">
        <v>-444.05716284603932</v>
      </c>
      <c r="Y48" s="269">
        <f>+AE48</f>
        <v>-158.17442940188718</v>
      </c>
      <c r="Z48" s="269"/>
      <c r="AA48" s="251"/>
      <c r="AB48" s="269">
        <v>-139.10067182526163</v>
      </c>
      <c r="AC48" s="269">
        <v>727.74268697726552</v>
      </c>
      <c r="AD48" s="269">
        <v>690.41049628949645</v>
      </c>
      <c r="AE48" s="269">
        <v>-158.17442940188718</v>
      </c>
      <c r="AF48" s="269">
        <v>2.2174447472736887</v>
      </c>
      <c r="AG48" s="269"/>
      <c r="AH48" s="269"/>
      <c r="AI48" s="269"/>
      <c r="AJ48" s="251"/>
      <c r="AK48" s="251"/>
      <c r="AL48" s="251"/>
      <c r="AM48" s="251"/>
      <c r="AN48" s="251"/>
      <c r="AO48" s="251"/>
      <c r="AP48" s="251"/>
      <c r="AQ48" s="251"/>
      <c r="AR48" s="251"/>
    </row>
    <row r="49" spans="2:35" x14ac:dyDescent="0.25">
      <c r="C49" s="97"/>
      <c r="D49" s="97"/>
      <c r="E49" s="97"/>
      <c r="F49" s="97"/>
      <c r="G49" s="97"/>
      <c r="H49" s="97"/>
      <c r="I49" s="97"/>
      <c r="J49" s="97"/>
      <c r="K49" s="97"/>
      <c r="L49" s="97"/>
      <c r="M49" s="97"/>
      <c r="N49" s="97"/>
      <c r="O49" s="97"/>
      <c r="P49" s="97"/>
      <c r="Q49" s="97"/>
      <c r="R49" s="97"/>
      <c r="S49" s="253"/>
      <c r="T49" s="253"/>
      <c r="U49" s="253"/>
      <c r="V49" s="253"/>
      <c r="AD49" s="70"/>
      <c r="AE49" s="70"/>
      <c r="AH49" s="70"/>
      <c r="AI49" s="70"/>
    </row>
    <row r="50" spans="2:35" x14ac:dyDescent="0.25">
      <c r="C50" s="97"/>
      <c r="D50" s="97"/>
      <c r="E50" s="97"/>
      <c r="F50" s="97"/>
      <c r="G50" s="97"/>
      <c r="H50" s="97"/>
      <c r="I50" s="97"/>
      <c r="J50" s="97"/>
      <c r="K50" s="97"/>
      <c r="L50" s="97"/>
      <c r="M50" s="97"/>
      <c r="N50" s="97"/>
      <c r="O50" s="97"/>
      <c r="P50" s="97"/>
      <c r="Q50" s="97"/>
      <c r="R50" s="97"/>
      <c r="S50" s="97"/>
      <c r="T50" s="253"/>
      <c r="U50" s="253"/>
      <c r="AD50" s="70"/>
      <c r="AE50" s="70"/>
      <c r="AH50" s="70"/>
      <c r="AI50" s="70"/>
    </row>
    <row r="51" spans="2:35" x14ac:dyDescent="0.25">
      <c r="C51" s="7"/>
      <c r="D51" s="7"/>
      <c r="E51" s="7"/>
      <c r="F51" s="7"/>
      <c r="G51" s="237"/>
      <c r="H51" s="237"/>
      <c r="I51" s="237"/>
      <c r="J51" s="237"/>
      <c r="K51" s="237"/>
      <c r="L51" s="237"/>
      <c r="M51" s="237"/>
      <c r="N51" s="237"/>
      <c r="O51" s="237"/>
      <c r="P51" s="237"/>
      <c r="Q51" s="237"/>
      <c r="R51" s="237"/>
      <c r="S51" s="237"/>
      <c r="AD51" s="70"/>
      <c r="AE51" s="70"/>
      <c r="AH51" s="70"/>
      <c r="AI51" s="70"/>
    </row>
    <row r="52" spans="2:35" x14ac:dyDescent="0.25">
      <c r="B52" s="165" t="s">
        <v>392</v>
      </c>
      <c r="C52" s="61">
        <v>2001</v>
      </c>
      <c r="D52" s="61">
        <v>2002</v>
      </c>
      <c r="E52" s="61">
        <v>2003</v>
      </c>
      <c r="F52" s="61">
        <v>2004</v>
      </c>
      <c r="G52" s="228">
        <v>2005</v>
      </c>
      <c r="H52" s="228">
        <v>2006</v>
      </c>
      <c r="I52" s="228">
        <v>2007</v>
      </c>
      <c r="J52" s="228">
        <v>2008</v>
      </c>
      <c r="K52" s="228">
        <v>2009</v>
      </c>
      <c r="L52" s="228">
        <v>2010</v>
      </c>
      <c r="M52" s="228">
        <v>2011</v>
      </c>
      <c r="N52" s="228">
        <v>2012</v>
      </c>
      <c r="O52" s="228">
        <v>2013</v>
      </c>
      <c r="P52" s="228">
        <v>2014</v>
      </c>
      <c r="Q52" s="228">
        <v>2015</v>
      </c>
      <c r="R52" s="228">
        <v>2016</v>
      </c>
      <c r="S52" s="228">
        <v>2017</v>
      </c>
      <c r="T52" s="228">
        <v>2019</v>
      </c>
      <c r="U52" s="228">
        <v>2019</v>
      </c>
      <c r="V52" s="228">
        <v>2020</v>
      </c>
      <c r="W52" s="228">
        <v>2021</v>
      </c>
      <c r="X52" s="228">
        <v>2022</v>
      </c>
      <c r="Y52" s="229">
        <v>2023</v>
      </c>
      <c r="Z52" s="230">
        <v>2024</v>
      </c>
      <c r="AB52" s="231" t="s">
        <v>291</v>
      </c>
      <c r="AC52" s="231" t="s">
        <v>292</v>
      </c>
      <c r="AD52" s="231" t="s">
        <v>293</v>
      </c>
      <c r="AE52" s="231">
        <v>2023</v>
      </c>
      <c r="AF52" s="232" t="s">
        <v>318</v>
      </c>
      <c r="AG52" s="232" t="s">
        <v>319</v>
      </c>
      <c r="AH52" s="232" t="s">
        <v>320</v>
      </c>
      <c r="AI52" s="232">
        <v>2024</v>
      </c>
    </row>
    <row r="53" spans="2:35" x14ac:dyDescent="0.25">
      <c r="B53" s="72" t="s">
        <v>393</v>
      </c>
      <c r="C53" s="139" t="s">
        <v>17</v>
      </c>
      <c r="D53" s="139" t="s">
        <v>17</v>
      </c>
      <c r="E53" s="139" t="s">
        <v>17</v>
      </c>
      <c r="F53" s="139" t="s">
        <v>17</v>
      </c>
      <c r="G53" s="277" t="s">
        <v>17</v>
      </c>
      <c r="H53" s="277" t="s">
        <v>17</v>
      </c>
      <c r="I53" s="277" t="s">
        <v>17</v>
      </c>
      <c r="J53" s="277" t="s">
        <v>17</v>
      </c>
      <c r="K53" s="277" t="s">
        <v>17</v>
      </c>
      <c r="L53" s="277" t="s">
        <v>17</v>
      </c>
      <c r="M53" s="277" t="s">
        <v>17</v>
      </c>
      <c r="N53" s="277" t="s">
        <v>17</v>
      </c>
      <c r="O53" s="277" t="s">
        <v>17</v>
      </c>
      <c r="P53" s="277" t="s">
        <v>17</v>
      </c>
      <c r="Q53" s="269">
        <v>18767</v>
      </c>
      <c r="R53" s="269">
        <v>17662</v>
      </c>
      <c r="S53" s="269">
        <v>16575</v>
      </c>
      <c r="T53" s="269">
        <v>15766.112000000001</v>
      </c>
      <c r="U53" s="269">
        <v>16222.027000000002</v>
      </c>
      <c r="V53" s="269">
        <v>15873.206279346996</v>
      </c>
      <c r="W53" s="269">
        <v>16493.122133171993</v>
      </c>
      <c r="X53" s="269">
        <v>19756.139171594299</v>
      </c>
      <c r="Y53" s="269">
        <f t="shared" ref="Y53:Y72" si="5">AE53</f>
        <v>20260.398070407417</v>
      </c>
      <c r="Z53" s="269"/>
      <c r="AB53" s="269">
        <v>18912.436253499138</v>
      </c>
      <c r="AC53" s="269">
        <v>20105.629312542191</v>
      </c>
      <c r="AD53" s="269">
        <v>20541.244383125835</v>
      </c>
      <c r="AE53" s="269">
        <v>20260.398070407417</v>
      </c>
      <c r="AF53" s="269">
        <v>19898.366164877087</v>
      </c>
      <c r="AG53" s="269"/>
      <c r="AH53" s="269"/>
      <c r="AI53" s="269"/>
    </row>
    <row r="54" spans="2:35" outlineLevel="1" x14ac:dyDescent="0.25">
      <c r="B54" s="99" t="s">
        <v>394</v>
      </c>
      <c r="C54" s="100"/>
      <c r="D54" s="100"/>
      <c r="E54" s="100"/>
      <c r="F54" s="100"/>
      <c r="G54" s="279"/>
      <c r="H54" s="279"/>
      <c r="I54" s="279"/>
      <c r="J54" s="279"/>
      <c r="K54" s="279"/>
      <c r="L54" s="279"/>
      <c r="M54" s="279"/>
      <c r="N54" s="279"/>
      <c r="O54" s="279"/>
      <c r="P54" s="279"/>
      <c r="Q54" s="279">
        <v>16157</v>
      </c>
      <c r="R54" s="279">
        <v>15214</v>
      </c>
      <c r="S54" s="279">
        <f>14079</f>
        <v>14079</v>
      </c>
      <c r="T54" s="279">
        <v>13228.245000000001</v>
      </c>
      <c r="U54" s="279">
        <v>13618.075000000001</v>
      </c>
      <c r="V54" s="279">
        <v>12653.820053909996</v>
      </c>
      <c r="W54" s="279">
        <v>12865.236711239993</v>
      </c>
      <c r="X54" s="279">
        <v>15937.591024699996</v>
      </c>
      <c r="Y54" s="279">
        <f t="shared" si="5"/>
        <v>16728.561452919996</v>
      </c>
      <c r="Z54" s="279"/>
      <c r="AB54" s="279">
        <v>15088.549983560022</v>
      </c>
      <c r="AC54" s="279">
        <v>16723.119808940006</v>
      </c>
      <c r="AD54" s="279">
        <v>17394.723628209991</v>
      </c>
      <c r="AE54" s="279">
        <v>16728.561452919996</v>
      </c>
      <c r="AF54" s="279">
        <v>16405.505870429988</v>
      </c>
      <c r="AG54" s="279"/>
      <c r="AH54" s="279"/>
      <c r="AI54" s="279"/>
    </row>
    <row r="55" spans="2:35" outlineLevel="1" x14ac:dyDescent="0.25">
      <c r="B55" s="99" t="s">
        <v>395</v>
      </c>
      <c r="C55" s="100"/>
      <c r="D55" s="100"/>
      <c r="E55" s="100"/>
      <c r="F55" s="100"/>
      <c r="G55" s="279"/>
      <c r="H55" s="279"/>
      <c r="I55" s="279"/>
      <c r="J55" s="279"/>
      <c r="K55" s="279"/>
      <c r="L55" s="279"/>
      <c r="M55" s="279"/>
      <c r="N55" s="279"/>
      <c r="O55" s="279"/>
      <c r="P55" s="279"/>
      <c r="Q55" s="279">
        <v>1080</v>
      </c>
      <c r="R55" s="279">
        <v>787</v>
      </c>
      <c r="S55" s="279">
        <v>992</v>
      </c>
      <c r="T55" s="279">
        <v>881.846</v>
      </c>
      <c r="U55" s="279">
        <v>769.029</v>
      </c>
      <c r="V55" s="279">
        <v>668.01919945799978</v>
      </c>
      <c r="W55" s="279">
        <v>934.03796944000055</v>
      </c>
      <c r="X55" s="279">
        <v>1397.87295094141</v>
      </c>
      <c r="Y55" s="279">
        <f t="shared" si="5"/>
        <v>1206.107380714328</v>
      </c>
      <c r="Z55" s="279"/>
      <c r="AB55" s="514">
        <v>1441.8977387269581</v>
      </c>
      <c r="AC55" s="279">
        <v>1161.7975101453399</v>
      </c>
      <c r="AD55" s="279">
        <v>1127.8902918365982</v>
      </c>
      <c r="AE55" s="279">
        <v>1206.107380714328</v>
      </c>
      <c r="AF55" s="279">
        <v>1253.2559766724521</v>
      </c>
      <c r="AG55" s="279"/>
      <c r="AH55" s="279"/>
      <c r="AI55" s="279"/>
    </row>
    <row r="56" spans="2:35" outlineLevel="1" x14ac:dyDescent="0.25">
      <c r="B56" s="99" t="s">
        <v>396</v>
      </c>
      <c r="C56" s="100"/>
      <c r="D56" s="100"/>
      <c r="E56" s="100"/>
      <c r="F56" s="100"/>
      <c r="G56" s="279"/>
      <c r="H56" s="279"/>
      <c r="I56" s="279"/>
      <c r="J56" s="279"/>
      <c r="K56" s="279"/>
      <c r="L56" s="279"/>
      <c r="M56" s="279"/>
      <c r="N56" s="279"/>
      <c r="O56" s="279"/>
      <c r="P56" s="279"/>
      <c r="Q56" s="279">
        <v>1415</v>
      </c>
      <c r="R56" s="279">
        <v>1582</v>
      </c>
      <c r="S56" s="279">
        <v>1504</v>
      </c>
      <c r="T56" s="279">
        <v>1656.021</v>
      </c>
      <c r="U56" s="279">
        <v>1834.923</v>
      </c>
      <c r="V56" s="279">
        <v>1380.7848481690005</v>
      </c>
      <c r="W56" s="279">
        <v>1641.8932226620002</v>
      </c>
      <c r="X56" s="279">
        <v>2420.6751959528933</v>
      </c>
      <c r="Y56" s="279">
        <f t="shared" si="5"/>
        <v>2325.7292367730929</v>
      </c>
      <c r="Z56" s="279"/>
      <c r="AB56" s="514">
        <v>2381.9885312121583</v>
      </c>
      <c r="AC56" s="279">
        <v>2220.7119934568423</v>
      </c>
      <c r="AD56" s="279">
        <v>2018.6304630792447</v>
      </c>
      <c r="AE56" s="279">
        <v>2325.7292367730929</v>
      </c>
      <c r="AF56" s="279">
        <v>2239.6043177746496</v>
      </c>
      <c r="AG56" s="279"/>
      <c r="AH56" s="279"/>
      <c r="AI56" s="279"/>
    </row>
    <row r="57" spans="2:35" outlineLevel="1" x14ac:dyDescent="0.25">
      <c r="B57" s="99" t="s">
        <v>30</v>
      </c>
      <c r="C57" s="100"/>
      <c r="D57" s="100"/>
      <c r="E57" s="100"/>
      <c r="F57" s="100"/>
      <c r="G57" s="279"/>
      <c r="H57" s="279"/>
      <c r="I57" s="279"/>
      <c r="J57" s="279"/>
      <c r="K57" s="279"/>
      <c r="L57" s="279"/>
      <c r="M57" s="279"/>
      <c r="N57" s="279"/>
      <c r="O57" s="279"/>
      <c r="P57" s="279"/>
      <c r="Q57" s="280">
        <v>115</v>
      </c>
      <c r="R57" s="280">
        <v>79</v>
      </c>
      <c r="S57" s="280" t="s">
        <v>17</v>
      </c>
      <c r="T57" s="279">
        <v>0</v>
      </c>
      <c r="U57" s="279">
        <v>0</v>
      </c>
      <c r="V57" s="279">
        <v>1170.5821778099998</v>
      </c>
      <c r="W57" s="279">
        <v>1051.95422983</v>
      </c>
      <c r="X57" s="279">
        <v>0</v>
      </c>
      <c r="Y57" s="279">
        <f t="shared" si="5"/>
        <v>0</v>
      </c>
      <c r="Z57" s="279"/>
      <c r="AB57" s="514">
        <v>0</v>
      </c>
      <c r="AC57" s="279">
        <v>0</v>
      </c>
      <c r="AD57" s="279">
        <v>0</v>
      </c>
      <c r="AE57" s="279">
        <v>0</v>
      </c>
      <c r="AF57" s="279">
        <v>0</v>
      </c>
      <c r="AG57" s="279"/>
      <c r="AH57" s="279"/>
      <c r="AI57" s="279"/>
    </row>
    <row r="58" spans="2:35" x14ac:dyDescent="0.25">
      <c r="B58" s="12" t="s">
        <v>397</v>
      </c>
      <c r="C58" s="25" t="s">
        <v>17</v>
      </c>
      <c r="D58" s="25" t="s">
        <v>17</v>
      </c>
      <c r="E58" s="25" t="s">
        <v>17</v>
      </c>
      <c r="F58" s="25" t="s">
        <v>17</v>
      </c>
      <c r="G58" s="253" t="s">
        <v>17</v>
      </c>
      <c r="H58" s="253" t="s">
        <v>17</v>
      </c>
      <c r="I58" s="253" t="s">
        <v>17</v>
      </c>
      <c r="J58" s="253" t="s">
        <v>17</v>
      </c>
      <c r="K58" s="253" t="s">
        <v>17</v>
      </c>
      <c r="L58" s="253" t="s">
        <v>17</v>
      </c>
      <c r="M58" s="253" t="s">
        <v>17</v>
      </c>
      <c r="N58" s="253" t="s">
        <v>17</v>
      </c>
      <c r="O58" s="253" t="s">
        <v>17</v>
      </c>
      <c r="P58" s="253" t="s">
        <v>17</v>
      </c>
      <c r="Q58" s="253">
        <v>332</v>
      </c>
      <c r="R58" s="253">
        <v>292</v>
      </c>
      <c r="S58" s="253">
        <v>261</v>
      </c>
      <c r="T58" s="253">
        <v>258.14699999999999</v>
      </c>
      <c r="U58" s="253">
        <v>288.096</v>
      </c>
      <c r="V58" s="253">
        <v>256.24012124399991</v>
      </c>
      <c r="W58" s="253">
        <v>248.16460682899995</v>
      </c>
      <c r="X58" s="253">
        <v>289.71394748614802</v>
      </c>
      <c r="Y58" s="253">
        <f t="shared" si="5"/>
        <v>367.47330978833503</v>
      </c>
      <c r="Z58" s="253"/>
      <c r="AB58" s="253">
        <v>265.42824139526203</v>
      </c>
      <c r="AC58" s="253">
        <v>283.25424658888102</v>
      </c>
      <c r="AD58" s="253">
        <v>314.335848018322</v>
      </c>
      <c r="AE58" s="253">
        <v>367.47330978833503</v>
      </c>
      <c r="AF58" s="253">
        <v>331.17603482128919</v>
      </c>
      <c r="AG58" s="253"/>
      <c r="AH58" s="253"/>
      <c r="AI58" s="253"/>
    </row>
    <row r="59" spans="2:35" x14ac:dyDescent="0.25">
      <c r="B59" s="14" t="s">
        <v>398</v>
      </c>
      <c r="C59" s="25" t="s">
        <v>17</v>
      </c>
      <c r="D59" s="25" t="s">
        <v>17</v>
      </c>
      <c r="E59" s="25" t="s">
        <v>17</v>
      </c>
      <c r="F59" s="25" t="s">
        <v>17</v>
      </c>
      <c r="G59" s="253" t="s">
        <v>17</v>
      </c>
      <c r="H59" s="253" t="s">
        <v>17</v>
      </c>
      <c r="I59" s="253" t="s">
        <v>17</v>
      </c>
      <c r="J59" s="253" t="s">
        <v>17</v>
      </c>
      <c r="K59" s="253" t="s">
        <v>17</v>
      </c>
      <c r="L59" s="253" t="s">
        <v>17</v>
      </c>
      <c r="M59" s="253" t="s">
        <v>17</v>
      </c>
      <c r="N59" s="253" t="s">
        <v>17</v>
      </c>
      <c r="O59" s="253" t="s">
        <v>17</v>
      </c>
      <c r="P59" s="253" t="s">
        <v>17</v>
      </c>
      <c r="Q59" s="253">
        <v>172</v>
      </c>
      <c r="R59" s="253">
        <v>73</v>
      </c>
      <c r="S59" s="253">
        <v>81</v>
      </c>
      <c r="T59" s="253">
        <v>60.639000000000003</v>
      </c>
      <c r="U59" s="253">
        <v>61.344999999999999</v>
      </c>
      <c r="V59" s="253">
        <v>157.33071420800002</v>
      </c>
      <c r="W59" s="253">
        <v>76.661622324999982</v>
      </c>
      <c r="X59" s="253">
        <v>-23.379520271122992</v>
      </c>
      <c r="Y59" s="253">
        <f t="shared" si="5"/>
        <v>4.7715409796509993</v>
      </c>
      <c r="Z59" s="253"/>
      <c r="AB59" s="253">
        <v>-24.496531513042992</v>
      </c>
      <c r="AC59" s="253">
        <v>-23.564872063664996</v>
      </c>
      <c r="AD59" s="253">
        <v>-17.342131975495001</v>
      </c>
      <c r="AE59" s="253">
        <v>4.7715409796509993</v>
      </c>
      <c r="AF59" s="253">
        <v>3.115416582701001</v>
      </c>
      <c r="AG59" s="253"/>
      <c r="AH59" s="253"/>
      <c r="AI59" s="253"/>
    </row>
    <row r="60" spans="2:35" x14ac:dyDescent="0.25">
      <c r="B60" s="14" t="s">
        <v>240</v>
      </c>
      <c r="C60" s="25" t="s">
        <v>17</v>
      </c>
      <c r="D60" s="25" t="s">
        <v>17</v>
      </c>
      <c r="E60" s="25" t="s">
        <v>17</v>
      </c>
      <c r="F60" s="25" t="s">
        <v>17</v>
      </c>
      <c r="G60" s="253" t="s">
        <v>17</v>
      </c>
      <c r="H60" s="253" t="s">
        <v>17</v>
      </c>
      <c r="I60" s="253" t="s">
        <v>17</v>
      </c>
      <c r="J60" s="253" t="s">
        <v>17</v>
      </c>
      <c r="K60" s="253" t="s">
        <v>17</v>
      </c>
      <c r="L60" s="253" t="s">
        <v>17</v>
      </c>
      <c r="M60" s="253" t="s">
        <v>17</v>
      </c>
      <c r="N60" s="253" t="s">
        <v>17</v>
      </c>
      <c r="O60" s="253" t="s">
        <v>17</v>
      </c>
      <c r="P60" s="253" t="s">
        <v>17</v>
      </c>
      <c r="Q60" s="253">
        <v>-175</v>
      </c>
      <c r="R60" s="253">
        <v>-130</v>
      </c>
      <c r="S60" s="253">
        <v>-141</v>
      </c>
      <c r="T60" s="253">
        <v>-115.86193867159299</v>
      </c>
      <c r="U60" s="253">
        <v>-134.97430096000002</v>
      </c>
      <c r="V60" s="253">
        <v>-93.868927259999992</v>
      </c>
      <c r="W60" s="253">
        <v>-79.456404777999978</v>
      </c>
      <c r="X60" s="253">
        <v>55.633355642014017</v>
      </c>
      <c r="Y60" s="253">
        <f t="shared" si="5"/>
        <v>37.739740203695</v>
      </c>
      <c r="Z60" s="253"/>
      <c r="AB60" s="253">
        <v>78.424399510891988</v>
      </c>
      <c r="AC60" s="253">
        <v>66.477961659292006</v>
      </c>
      <c r="AD60" s="253">
        <v>60.09257512553399</v>
      </c>
      <c r="AE60" s="253">
        <v>37.739740203695</v>
      </c>
      <c r="AF60" s="253">
        <v>28.673221297544991</v>
      </c>
      <c r="AG60" s="253"/>
      <c r="AH60" s="253"/>
      <c r="AI60" s="253"/>
    </row>
    <row r="61" spans="2:35" x14ac:dyDescent="0.25">
      <c r="B61" s="14" t="s">
        <v>399</v>
      </c>
      <c r="C61" s="25" t="s">
        <v>17</v>
      </c>
      <c r="D61" s="25" t="s">
        <v>17</v>
      </c>
      <c r="E61" s="25" t="s">
        <v>17</v>
      </c>
      <c r="F61" s="25" t="s">
        <v>17</v>
      </c>
      <c r="G61" s="253" t="s">
        <v>17</v>
      </c>
      <c r="H61" s="253" t="s">
        <v>17</v>
      </c>
      <c r="I61" s="253" t="s">
        <v>17</v>
      </c>
      <c r="J61" s="253" t="s">
        <v>17</v>
      </c>
      <c r="K61" s="253" t="s">
        <v>17</v>
      </c>
      <c r="L61" s="253" t="s">
        <v>17</v>
      </c>
      <c r="M61" s="253" t="s">
        <v>17</v>
      </c>
      <c r="N61" s="253" t="s">
        <v>17</v>
      </c>
      <c r="O61" s="253" t="s">
        <v>17</v>
      </c>
      <c r="P61" s="253" t="s">
        <v>17</v>
      </c>
      <c r="Q61" s="253">
        <v>-80</v>
      </c>
      <c r="R61" s="253">
        <v>-52</v>
      </c>
      <c r="S61" s="253">
        <v>-45</v>
      </c>
      <c r="T61" s="253">
        <v>-192.89042304023599</v>
      </c>
      <c r="U61" s="253">
        <v>-61.475842394119994</v>
      </c>
      <c r="V61" s="253">
        <v>-32.068865605999989</v>
      </c>
      <c r="W61" s="253">
        <v>-50.074396378999992</v>
      </c>
      <c r="X61" s="253">
        <v>-53.101875805103013</v>
      </c>
      <c r="Y61" s="253">
        <f t="shared" si="5"/>
        <v>-70.73079250600999</v>
      </c>
      <c r="Z61" s="253"/>
      <c r="AB61" s="253">
        <v>-76.862876919971001</v>
      </c>
      <c r="AC61" s="253">
        <v>-85.231037170315005</v>
      </c>
      <c r="AD61" s="253">
        <v>-65.397392093746006</v>
      </c>
      <c r="AE61" s="253">
        <v>-70.73079250600999</v>
      </c>
      <c r="AF61" s="253">
        <v>-71.329763790914015</v>
      </c>
      <c r="AG61" s="253"/>
      <c r="AH61" s="253"/>
      <c r="AI61" s="253"/>
    </row>
    <row r="62" spans="2:35" x14ac:dyDescent="0.25">
      <c r="B62" s="18" t="s">
        <v>400</v>
      </c>
      <c r="C62" s="25" t="s">
        <v>17</v>
      </c>
      <c r="D62" s="25" t="s">
        <v>17</v>
      </c>
      <c r="E62" s="25" t="s">
        <v>17</v>
      </c>
      <c r="F62" s="25" t="s">
        <v>17</v>
      </c>
      <c r="G62" s="253" t="s">
        <v>17</v>
      </c>
      <c r="H62" s="253" t="s">
        <v>17</v>
      </c>
      <c r="I62" s="253" t="s">
        <v>17</v>
      </c>
      <c r="J62" s="253" t="s">
        <v>17</v>
      </c>
      <c r="K62" s="253" t="s">
        <v>17</v>
      </c>
      <c r="L62" s="253" t="s">
        <v>17</v>
      </c>
      <c r="M62" s="253" t="s">
        <v>17</v>
      </c>
      <c r="N62" s="253" t="s">
        <v>17</v>
      </c>
      <c r="O62" s="253" t="s">
        <v>17</v>
      </c>
      <c r="P62" s="253" t="s">
        <v>17</v>
      </c>
      <c r="Q62" s="253">
        <v>-381</v>
      </c>
      <c r="R62" s="253">
        <v>-391</v>
      </c>
      <c r="S62" s="253">
        <v>-391</v>
      </c>
      <c r="T62" s="253">
        <v>-391.06977739499996</v>
      </c>
      <c r="U62" s="253">
        <v>-906.13537909499996</v>
      </c>
      <c r="V62" s="253">
        <v>-893.0327534249999</v>
      </c>
      <c r="W62" s="253">
        <v>-1899.0404687999999</v>
      </c>
      <c r="X62" s="253">
        <v>-1901.8760753399999</v>
      </c>
      <c r="Y62" s="253">
        <f t="shared" si="5"/>
        <v>-1907.2338319630001</v>
      </c>
      <c r="Z62" s="253"/>
      <c r="AB62" s="253">
        <v>-1892.4838173349999</v>
      </c>
      <c r="AC62" s="253">
        <v>-1898.459490515</v>
      </c>
      <c r="AD62" s="253">
        <v>-1893.8023975449998</v>
      </c>
      <c r="AE62" s="253">
        <v>-1907.2338319630001</v>
      </c>
      <c r="AF62" s="253">
        <v>-1914.8950339252001</v>
      </c>
      <c r="AG62" s="253"/>
      <c r="AH62" s="253"/>
      <c r="AI62" s="253"/>
    </row>
    <row r="63" spans="2:35" x14ac:dyDescent="0.25">
      <c r="B63" s="72" t="s">
        <v>401</v>
      </c>
      <c r="C63" s="67" t="s">
        <v>17</v>
      </c>
      <c r="D63" s="67" t="s">
        <v>17</v>
      </c>
      <c r="E63" s="67" t="s">
        <v>17</v>
      </c>
      <c r="F63" s="67" t="s">
        <v>17</v>
      </c>
      <c r="G63" s="269" t="s">
        <v>17</v>
      </c>
      <c r="H63" s="269" t="s">
        <v>17</v>
      </c>
      <c r="I63" s="269" t="s">
        <v>17</v>
      </c>
      <c r="J63" s="269" t="s">
        <v>17</v>
      </c>
      <c r="K63" s="269" t="s">
        <v>17</v>
      </c>
      <c r="L63" s="269" t="s">
        <v>17</v>
      </c>
      <c r="M63" s="269" t="s">
        <v>17</v>
      </c>
      <c r="N63" s="269" t="s">
        <v>17</v>
      </c>
      <c r="O63" s="269" t="s">
        <v>17</v>
      </c>
      <c r="P63" s="269" t="s">
        <v>17</v>
      </c>
      <c r="Q63" s="269">
        <v>18635</v>
      </c>
      <c r="R63" s="269">
        <v>17454</v>
      </c>
      <c r="S63" s="269">
        <v>16340</v>
      </c>
      <c r="T63" s="269">
        <v>15385.075860893172</v>
      </c>
      <c r="U63" s="269">
        <v>15468.882477550886</v>
      </c>
      <c r="V63" s="269">
        <v>15267.806568507996</v>
      </c>
      <c r="W63" s="269">
        <v>14789.37709236899</v>
      </c>
      <c r="X63" s="269">
        <v>18123.129003306236</v>
      </c>
      <c r="Y63" s="269">
        <f t="shared" si="5"/>
        <v>18692.41803691009</v>
      </c>
      <c r="Z63" s="269"/>
      <c r="AB63" s="269">
        <v>17262.445668637276</v>
      </c>
      <c r="AC63" s="269">
        <v>18448.106121041386</v>
      </c>
      <c r="AD63" s="269">
        <v>18939.130884655449</v>
      </c>
      <c r="AE63" s="269">
        <v>18692.41803691009</v>
      </c>
      <c r="AF63" s="269">
        <v>18275.106039862505</v>
      </c>
      <c r="AG63" s="269"/>
      <c r="AH63" s="269"/>
      <c r="AI63" s="269"/>
    </row>
    <row r="64" spans="2:35" x14ac:dyDescent="0.25">
      <c r="B64" s="72" t="s">
        <v>371</v>
      </c>
      <c r="C64" s="67" t="s">
        <v>17</v>
      </c>
      <c r="D64" s="67" t="s">
        <v>17</v>
      </c>
      <c r="E64" s="67" t="s">
        <v>17</v>
      </c>
      <c r="F64" s="67" t="s">
        <v>17</v>
      </c>
      <c r="G64" s="269" t="s">
        <v>17</v>
      </c>
      <c r="H64" s="269" t="s">
        <v>17</v>
      </c>
      <c r="I64" s="269" t="s">
        <v>17</v>
      </c>
      <c r="J64" s="269" t="s">
        <v>17</v>
      </c>
      <c r="K64" s="269" t="s">
        <v>17</v>
      </c>
      <c r="L64" s="269" t="s">
        <v>17</v>
      </c>
      <c r="M64" s="269" t="s">
        <v>17</v>
      </c>
      <c r="N64" s="269" t="s">
        <v>17</v>
      </c>
      <c r="O64" s="269" t="s">
        <v>17</v>
      </c>
      <c r="P64" s="269" t="s">
        <v>17</v>
      </c>
      <c r="Q64" s="269">
        <v>1245</v>
      </c>
      <c r="R64" s="269">
        <v>1521</v>
      </c>
      <c r="S64" s="269">
        <v>2400</v>
      </c>
      <c r="T64" s="269">
        <v>1803.2052051465801</v>
      </c>
      <c r="U64" s="269">
        <v>1542.7223504996</v>
      </c>
      <c r="V64" s="269">
        <v>2954.2767137559999</v>
      </c>
      <c r="W64" s="269">
        <v>3222.3262463789993</v>
      </c>
      <c r="X64" s="269">
        <v>4900.1076479210587</v>
      </c>
      <c r="Y64" s="269">
        <f t="shared" si="5"/>
        <v>3372.4006032244033</v>
      </c>
      <c r="Z64" s="269"/>
      <c r="AB64" s="269">
        <v>4155.4539709793335</v>
      </c>
      <c r="AC64" s="269">
        <v>3112.5522632396223</v>
      </c>
      <c r="AD64" s="269">
        <v>1996.1087916244135</v>
      </c>
      <c r="AE64" s="269">
        <v>3372.4006032244033</v>
      </c>
      <c r="AF64" s="269">
        <v>2333.0221116696357</v>
      </c>
      <c r="AG64" s="269"/>
      <c r="AH64" s="269"/>
      <c r="AI64" s="269"/>
    </row>
    <row r="65" spans="2:35" x14ac:dyDescent="0.25">
      <c r="B65" s="13" t="s">
        <v>394</v>
      </c>
      <c r="C65" s="25" t="s">
        <v>17</v>
      </c>
      <c r="D65" s="25" t="s">
        <v>17</v>
      </c>
      <c r="E65" s="25" t="s">
        <v>17</v>
      </c>
      <c r="F65" s="25" t="s">
        <v>17</v>
      </c>
      <c r="G65" s="253" t="s">
        <v>17</v>
      </c>
      <c r="H65" s="253" t="s">
        <v>17</v>
      </c>
      <c r="I65" s="253" t="s">
        <v>17</v>
      </c>
      <c r="J65" s="253" t="s">
        <v>17</v>
      </c>
      <c r="K65" s="253" t="s">
        <v>17</v>
      </c>
      <c r="L65" s="253" t="s">
        <v>17</v>
      </c>
      <c r="M65" s="253" t="s">
        <v>17</v>
      </c>
      <c r="N65" s="253" t="s">
        <v>17</v>
      </c>
      <c r="O65" s="253" t="s">
        <v>17</v>
      </c>
      <c r="P65" s="253" t="s">
        <v>17</v>
      </c>
      <c r="Q65" s="253">
        <v>680</v>
      </c>
      <c r="R65" s="253">
        <v>525</v>
      </c>
      <c r="S65" s="253">
        <v>1608</v>
      </c>
      <c r="T65" s="253">
        <v>921.80048948575291</v>
      </c>
      <c r="U65" s="253">
        <v>376.64405969613904</v>
      </c>
      <c r="V65" s="253">
        <v>1997.1546509649997</v>
      </c>
      <c r="W65" s="253">
        <v>1788.9767088869996</v>
      </c>
      <c r="X65" s="253">
        <v>2980.9793618682979</v>
      </c>
      <c r="Y65" s="253">
        <f t="shared" si="5"/>
        <v>1359.9483732196445</v>
      </c>
      <c r="Z65" s="253"/>
      <c r="AB65" s="253">
        <v>2176.6073232708322</v>
      </c>
      <c r="AC65" s="253">
        <v>1393.1462775269529</v>
      </c>
      <c r="AD65" s="253">
        <v>965.91769212456734</v>
      </c>
      <c r="AE65" s="253">
        <v>1359.9483732196445</v>
      </c>
      <c r="AF65" s="253">
        <v>1157.1882589589736</v>
      </c>
      <c r="AG65" s="253"/>
      <c r="AH65" s="253"/>
      <c r="AI65" s="253"/>
    </row>
    <row r="66" spans="2:35" x14ac:dyDescent="0.25">
      <c r="B66" s="13" t="s">
        <v>395</v>
      </c>
      <c r="C66" s="25" t="s">
        <v>17</v>
      </c>
      <c r="D66" s="25" t="s">
        <v>17</v>
      </c>
      <c r="E66" s="25" t="s">
        <v>17</v>
      </c>
      <c r="F66" s="25" t="s">
        <v>17</v>
      </c>
      <c r="G66" s="253" t="s">
        <v>17</v>
      </c>
      <c r="H66" s="253" t="s">
        <v>17</v>
      </c>
      <c r="I66" s="253" t="s">
        <v>17</v>
      </c>
      <c r="J66" s="253" t="s">
        <v>17</v>
      </c>
      <c r="K66" s="253" t="s">
        <v>17</v>
      </c>
      <c r="L66" s="253" t="s">
        <v>17</v>
      </c>
      <c r="M66" s="253" t="s">
        <v>17</v>
      </c>
      <c r="N66" s="253" t="s">
        <v>17</v>
      </c>
      <c r="O66" s="253" t="s">
        <v>17</v>
      </c>
      <c r="P66" s="253" t="s">
        <v>17</v>
      </c>
      <c r="Q66" s="253">
        <v>299</v>
      </c>
      <c r="R66" s="253">
        <v>408</v>
      </c>
      <c r="S66" s="253">
        <v>388</v>
      </c>
      <c r="T66" s="253">
        <v>385.591897825545</v>
      </c>
      <c r="U66" s="253">
        <v>581.75907633173006</v>
      </c>
      <c r="V66" s="253">
        <v>474.38428056700019</v>
      </c>
      <c r="W66" s="253">
        <v>1003.7837723139997</v>
      </c>
      <c r="X66" s="253">
        <v>1171.9321821389076</v>
      </c>
      <c r="Y66" s="253">
        <f t="shared" si="5"/>
        <v>1371.7680850459878</v>
      </c>
      <c r="Z66" s="253"/>
      <c r="AB66" s="253">
        <v>1367.7228894544116</v>
      </c>
      <c r="AC66" s="253">
        <v>1306.9414603171515</v>
      </c>
      <c r="AD66" s="253">
        <v>725.71315616242998</v>
      </c>
      <c r="AE66" s="253">
        <v>1371.7680850459878</v>
      </c>
      <c r="AF66" s="253">
        <v>698.62772788463315</v>
      </c>
      <c r="AG66" s="253"/>
      <c r="AH66" s="253"/>
      <c r="AI66" s="253"/>
    </row>
    <row r="67" spans="2:35" x14ac:dyDescent="0.25">
      <c r="B67" s="13" t="s">
        <v>396</v>
      </c>
      <c r="C67" s="25" t="s">
        <v>17</v>
      </c>
      <c r="D67" s="25" t="s">
        <v>17</v>
      </c>
      <c r="E67" s="25" t="s">
        <v>17</v>
      </c>
      <c r="F67" s="25" t="s">
        <v>17</v>
      </c>
      <c r="G67" s="253" t="s">
        <v>17</v>
      </c>
      <c r="H67" s="253" t="s">
        <v>17</v>
      </c>
      <c r="I67" s="253" t="s">
        <v>17</v>
      </c>
      <c r="J67" s="253" t="s">
        <v>17</v>
      </c>
      <c r="K67" s="253" t="s">
        <v>17</v>
      </c>
      <c r="L67" s="253" t="s">
        <v>17</v>
      </c>
      <c r="M67" s="253" t="s">
        <v>17</v>
      </c>
      <c r="N67" s="253" t="s">
        <v>17</v>
      </c>
      <c r="O67" s="253" t="s">
        <v>17</v>
      </c>
      <c r="P67" s="253" t="s">
        <v>17</v>
      </c>
      <c r="Q67" s="253">
        <v>267</v>
      </c>
      <c r="R67" s="253">
        <v>588</v>
      </c>
      <c r="S67" s="253">
        <v>404</v>
      </c>
      <c r="T67" s="253">
        <v>495.81281783528101</v>
      </c>
      <c r="U67" s="253">
        <v>584.3192144717309</v>
      </c>
      <c r="V67" s="253">
        <v>429.25869399399994</v>
      </c>
      <c r="W67" s="253">
        <v>427.80434776800001</v>
      </c>
      <c r="X67" s="253">
        <v>744.36842037385304</v>
      </c>
      <c r="Y67" s="253">
        <f t="shared" si="5"/>
        <v>640.68414495877096</v>
      </c>
      <c r="Z67" s="253"/>
      <c r="AB67" s="253">
        <v>604.37310870408999</v>
      </c>
      <c r="AC67" s="253">
        <v>407.60569161551808</v>
      </c>
      <c r="AD67" s="253">
        <v>304.47794333741621</v>
      </c>
      <c r="AE67" s="253">
        <v>640.68414495877096</v>
      </c>
      <c r="AF67" s="253">
        <v>477.20612482602905</v>
      </c>
      <c r="AG67" s="253"/>
      <c r="AH67" s="253"/>
      <c r="AI67" s="253"/>
    </row>
    <row r="68" spans="2:35" x14ac:dyDescent="0.25">
      <c r="B68" s="13" t="s">
        <v>402</v>
      </c>
      <c r="C68" s="103" t="s">
        <v>17</v>
      </c>
      <c r="D68" s="103" t="s">
        <v>17</v>
      </c>
      <c r="E68" s="103" t="s">
        <v>17</v>
      </c>
      <c r="F68" s="103" t="s">
        <v>17</v>
      </c>
      <c r="G68" s="268" t="s">
        <v>17</v>
      </c>
      <c r="H68" s="268" t="s">
        <v>17</v>
      </c>
      <c r="I68" s="268" t="s">
        <v>17</v>
      </c>
      <c r="J68" s="268" t="s">
        <v>17</v>
      </c>
      <c r="K68" s="268" t="s">
        <v>17</v>
      </c>
      <c r="L68" s="268" t="s">
        <v>17</v>
      </c>
      <c r="M68" s="268" t="s">
        <v>17</v>
      </c>
      <c r="N68" s="268" t="s">
        <v>17</v>
      </c>
      <c r="O68" s="268" t="s">
        <v>17</v>
      </c>
      <c r="P68" s="268" t="s">
        <v>17</v>
      </c>
      <c r="Q68" s="268" t="s">
        <v>17</v>
      </c>
      <c r="R68" s="268" t="s">
        <v>17</v>
      </c>
      <c r="S68" s="268" t="s">
        <v>17</v>
      </c>
      <c r="T68" s="268" t="s">
        <v>17</v>
      </c>
      <c r="U68" s="268" t="s">
        <v>17</v>
      </c>
      <c r="V68" s="268">
        <v>53.479088229999974</v>
      </c>
      <c r="W68" s="253">
        <v>1.7614174100000053</v>
      </c>
      <c r="X68" s="253">
        <v>2.8276835400000051</v>
      </c>
      <c r="Y68" s="253">
        <f t="shared" si="5"/>
        <v>0</v>
      </c>
      <c r="Z68" s="253"/>
      <c r="AB68" s="253">
        <v>6.7506495499999986</v>
      </c>
      <c r="AC68" s="253">
        <v>4.8588337800000012</v>
      </c>
      <c r="AD68" s="253">
        <v>0</v>
      </c>
      <c r="AE68" s="253">
        <v>0</v>
      </c>
      <c r="AF68" s="253">
        <v>0</v>
      </c>
      <c r="AG68" s="253"/>
      <c r="AH68" s="253"/>
      <c r="AI68" s="253"/>
    </row>
    <row r="69" spans="2:35" x14ac:dyDescent="0.25">
      <c r="B69" s="73" t="s">
        <v>403</v>
      </c>
      <c r="C69" s="71" t="s">
        <v>17</v>
      </c>
      <c r="D69" s="71" t="s">
        <v>17</v>
      </c>
      <c r="E69" s="71" t="s">
        <v>17</v>
      </c>
      <c r="F69" s="71" t="s">
        <v>17</v>
      </c>
      <c r="G69" s="281" t="s">
        <v>17</v>
      </c>
      <c r="H69" s="281" t="s">
        <v>17</v>
      </c>
      <c r="I69" s="281" t="s">
        <v>17</v>
      </c>
      <c r="J69" s="281" t="s">
        <v>17</v>
      </c>
      <c r="K69" s="281" t="s">
        <v>17</v>
      </c>
      <c r="L69" s="281" t="s">
        <v>17</v>
      </c>
      <c r="M69" s="281" t="s">
        <v>17</v>
      </c>
      <c r="N69" s="281" t="s">
        <v>17</v>
      </c>
      <c r="O69" s="281" t="s">
        <v>17</v>
      </c>
      <c r="P69" s="281" t="s">
        <v>17</v>
      </c>
      <c r="Q69" s="281">
        <v>9</v>
      </c>
      <c r="R69" s="281">
        <v>10</v>
      </c>
      <c r="S69" s="281">
        <v>38</v>
      </c>
      <c r="T69" s="281">
        <v>101.94093925811001</v>
      </c>
      <c r="U69" s="281">
        <v>99.325839390249001</v>
      </c>
      <c r="V69" s="281">
        <v>71</v>
      </c>
      <c r="W69" s="281">
        <v>1.8576258099999949</v>
      </c>
      <c r="X69" s="281">
        <v>0.34615073954600001</v>
      </c>
      <c r="Y69" s="281">
        <f t="shared" si="5"/>
        <v>0.77830027416200009</v>
      </c>
      <c r="Z69" s="281"/>
      <c r="AB69" s="281">
        <v>0</v>
      </c>
      <c r="AC69" s="281">
        <v>16.734799238463001</v>
      </c>
      <c r="AD69" s="281">
        <v>23.191788476396997</v>
      </c>
      <c r="AE69" s="281">
        <v>0.77830027416200009</v>
      </c>
      <c r="AF69" s="281">
        <v>25.227629138287998</v>
      </c>
      <c r="AG69" s="281"/>
      <c r="AH69" s="281"/>
      <c r="AI69" s="281"/>
    </row>
    <row r="70" spans="2:35" x14ac:dyDescent="0.25">
      <c r="B70" s="72" t="s">
        <v>332</v>
      </c>
      <c r="C70" s="67" t="s">
        <v>17</v>
      </c>
      <c r="D70" s="67" t="s">
        <v>17</v>
      </c>
      <c r="E70" s="67" t="s">
        <v>17</v>
      </c>
      <c r="F70" s="67" t="s">
        <v>17</v>
      </c>
      <c r="G70" s="269" t="s">
        <v>17</v>
      </c>
      <c r="H70" s="269" t="s">
        <v>17</v>
      </c>
      <c r="I70" s="269">
        <v>11692.247762000001</v>
      </c>
      <c r="J70" s="269">
        <v>13921.168648000001</v>
      </c>
      <c r="K70" s="269">
        <v>14033.085429000001</v>
      </c>
      <c r="L70" s="269">
        <v>16246.835564999999</v>
      </c>
      <c r="M70" s="269">
        <v>16879.863873999999</v>
      </c>
      <c r="N70" s="269">
        <v>18233.274635000002</v>
      </c>
      <c r="O70" s="269">
        <v>17083.281907000001</v>
      </c>
      <c r="P70" s="269">
        <v>17042.367205646784</v>
      </c>
      <c r="Q70" s="269">
        <f>Q63-Q64-Q69</f>
        <v>17381</v>
      </c>
      <c r="R70" s="269">
        <v>15923</v>
      </c>
      <c r="S70" s="269">
        <v>13902</v>
      </c>
      <c r="T70" s="269">
        <v>13479.929716488483</v>
      </c>
      <c r="U70" s="269">
        <v>13826.834287661037</v>
      </c>
      <c r="V70" s="269">
        <v>12243</v>
      </c>
      <c r="W70" s="269">
        <v>11565.097379838997</v>
      </c>
      <c r="X70" s="269">
        <v>13222.578279525638</v>
      </c>
      <c r="Y70" s="269">
        <f t="shared" si="5"/>
        <v>15319.376484380764</v>
      </c>
      <c r="Z70" s="269"/>
      <c r="AB70" s="269">
        <v>13106.878174809181</v>
      </c>
      <c r="AC70" s="269">
        <v>15318.799817675295</v>
      </c>
      <c r="AD70" s="269">
        <v>16919.751486750647</v>
      </c>
      <c r="AE70" s="269">
        <v>15319.376484380764</v>
      </c>
      <c r="AF70" s="269">
        <v>15916.888024801561</v>
      </c>
      <c r="AG70" s="269"/>
      <c r="AH70" s="269"/>
      <c r="AI70" s="269"/>
    </row>
    <row r="71" spans="2:35" x14ac:dyDescent="0.25">
      <c r="B71" s="144" t="s">
        <v>241</v>
      </c>
      <c r="C71" s="145" t="s">
        <v>17</v>
      </c>
      <c r="D71" s="145" t="s">
        <v>17</v>
      </c>
      <c r="E71" s="145" t="s">
        <v>17</v>
      </c>
      <c r="F71" s="145" t="s">
        <v>17</v>
      </c>
      <c r="G71" s="282" t="s">
        <v>17</v>
      </c>
      <c r="H71" s="282" t="s">
        <v>17</v>
      </c>
      <c r="I71" s="283">
        <v>4.4486407501227658</v>
      </c>
      <c r="J71" s="283">
        <v>4.4125047124058652</v>
      </c>
      <c r="K71" s="283">
        <v>4.1728517996143468</v>
      </c>
      <c r="L71" s="283">
        <v>4.4970082645989091</v>
      </c>
      <c r="M71" s="283">
        <v>4.4945998790873123</v>
      </c>
      <c r="N71" s="283">
        <v>5.0250759321549907</v>
      </c>
      <c r="O71" s="283">
        <v>4.7479814935145708</v>
      </c>
      <c r="P71" s="283">
        <v>4.6788934140568141</v>
      </c>
      <c r="Q71" s="283">
        <v>4.4000000000000004</v>
      </c>
      <c r="R71" s="283">
        <v>4.2</v>
      </c>
      <c r="S71" s="283">
        <v>3.5</v>
      </c>
      <c r="T71" s="283">
        <v>4.0760901625993009</v>
      </c>
      <c r="U71" s="283">
        <v>3.7313180196899012</v>
      </c>
      <c r="V71" s="284">
        <v>3.5323030000000002</v>
      </c>
      <c r="W71" s="284">
        <v>3.485303</v>
      </c>
      <c r="X71" s="283">
        <v>3.3566280000000002</v>
      </c>
      <c r="Y71" s="283">
        <f t="shared" si="5"/>
        <v>3.3438180000000002</v>
      </c>
      <c r="Z71" s="283"/>
      <c r="AB71" s="284">
        <v>2.7924500000000001</v>
      </c>
      <c r="AC71" s="284">
        <v>3.1905640000000002</v>
      </c>
      <c r="AD71" s="284">
        <v>3.259525</v>
      </c>
      <c r="AE71" s="284">
        <v>3.3438180000000002</v>
      </c>
      <c r="AF71" s="284">
        <v>3.4639760000000002</v>
      </c>
      <c r="AG71" s="284"/>
      <c r="AH71" s="284"/>
      <c r="AI71" s="284"/>
    </row>
    <row r="72" spans="2:35" x14ac:dyDescent="0.25">
      <c r="B72" s="146" t="s">
        <v>31</v>
      </c>
      <c r="C72" s="147" t="s">
        <v>17</v>
      </c>
      <c r="D72" s="147" t="s">
        <v>17</v>
      </c>
      <c r="E72" s="147" t="s">
        <v>17</v>
      </c>
      <c r="F72" s="147" t="s">
        <v>17</v>
      </c>
      <c r="G72" s="285" t="s">
        <v>17</v>
      </c>
      <c r="H72" s="285" t="s">
        <v>17</v>
      </c>
      <c r="I72" s="285" t="s">
        <v>17</v>
      </c>
      <c r="J72" s="285" t="s">
        <v>17</v>
      </c>
      <c r="K72" s="285" t="s">
        <v>17</v>
      </c>
      <c r="L72" s="286">
        <v>0.2029878149001717</v>
      </c>
      <c r="M72" s="286">
        <v>0.18726495503743928</v>
      </c>
      <c r="N72" s="286">
        <v>0.17556128492747092</v>
      </c>
      <c r="O72" s="286">
        <v>0.1695998790533591</v>
      </c>
      <c r="P72" s="286">
        <v>0.16781544287671166</v>
      </c>
      <c r="Q72" s="287">
        <v>0.18</v>
      </c>
      <c r="R72" s="287">
        <v>0.13300000000000001</v>
      </c>
      <c r="S72" s="287">
        <v>0.17799999999999999</v>
      </c>
      <c r="T72" s="287">
        <v>0.11626931485264493</v>
      </c>
      <c r="U72" s="287">
        <v>0.19463272324118533</v>
      </c>
      <c r="V72" s="288">
        <v>0.192195</v>
      </c>
      <c r="W72" s="288">
        <v>0.207451</v>
      </c>
      <c r="X72" s="295">
        <v>0.20418800000000001</v>
      </c>
      <c r="Y72" s="287">
        <f t="shared" si="5"/>
        <v>0.21295000000000003</v>
      </c>
      <c r="Z72" s="287"/>
      <c r="AB72" s="288">
        <v>0.23405400000000001</v>
      </c>
      <c r="AC72" s="288">
        <v>0.19377800000000001</v>
      </c>
      <c r="AD72" s="288">
        <v>0.18609600000000001</v>
      </c>
      <c r="AE72" s="288">
        <v>0.21295000000000003</v>
      </c>
      <c r="AF72" s="288">
        <v>0.20685800000000001</v>
      </c>
      <c r="AG72" s="288"/>
      <c r="AH72" s="288"/>
      <c r="AI72" s="288"/>
    </row>
    <row r="73" spans="2:35" x14ac:dyDescent="0.25">
      <c r="C73" s="98"/>
      <c r="D73" s="98"/>
      <c r="E73" s="98"/>
      <c r="F73" s="98"/>
      <c r="G73" s="289"/>
      <c r="H73" s="289"/>
      <c r="I73" s="289"/>
      <c r="J73" s="289"/>
      <c r="K73" s="289"/>
      <c r="L73" s="289"/>
      <c r="M73" s="289"/>
      <c r="N73" s="289"/>
      <c r="O73" s="289"/>
      <c r="P73" s="289"/>
      <c r="Q73" s="289"/>
      <c r="R73" s="290"/>
      <c r="S73" s="290"/>
      <c r="T73" s="290"/>
      <c r="V73" s="253"/>
      <c r="W73" s="70"/>
      <c r="X73" s="70"/>
      <c r="AD73" s="70"/>
      <c r="AE73" s="70"/>
      <c r="AH73" s="70"/>
      <c r="AI73" s="70"/>
    </row>
    <row r="74" spans="2:35" x14ac:dyDescent="0.25">
      <c r="B74" s="165" t="s">
        <v>32</v>
      </c>
      <c r="C74" s="61">
        <v>2001</v>
      </c>
      <c r="D74" s="61">
        <v>2002</v>
      </c>
      <c r="E74" s="61">
        <v>2003</v>
      </c>
      <c r="F74" s="61">
        <v>2004</v>
      </c>
      <c r="G74" s="228">
        <v>2005</v>
      </c>
      <c r="H74" s="228">
        <v>2006</v>
      </c>
      <c r="I74" s="228">
        <v>2007</v>
      </c>
      <c r="J74" s="228">
        <v>2008</v>
      </c>
      <c r="K74" s="228">
        <v>2009</v>
      </c>
      <c r="L74" s="228">
        <v>2010</v>
      </c>
      <c r="M74" s="228">
        <v>2011</v>
      </c>
      <c r="N74" s="228">
        <v>2012</v>
      </c>
      <c r="O74" s="228">
        <v>2013</v>
      </c>
      <c r="P74" s="228">
        <v>2014</v>
      </c>
      <c r="Q74" s="228">
        <v>2015</v>
      </c>
      <c r="R74" s="228">
        <v>2016</v>
      </c>
      <c r="S74" s="228">
        <v>2017</v>
      </c>
      <c r="T74" s="228">
        <v>2018</v>
      </c>
      <c r="U74" s="228">
        <v>2019</v>
      </c>
      <c r="V74" s="228">
        <v>2020</v>
      </c>
      <c r="W74" s="231">
        <v>2021</v>
      </c>
      <c r="X74" s="231">
        <v>2022</v>
      </c>
      <c r="Y74" s="229">
        <v>2023</v>
      </c>
      <c r="Z74" s="230">
        <v>2024</v>
      </c>
      <c r="AB74" s="231" t="s">
        <v>291</v>
      </c>
      <c r="AC74" s="231" t="s">
        <v>292</v>
      </c>
      <c r="AD74" s="231" t="s">
        <v>293</v>
      </c>
      <c r="AE74" s="231">
        <v>2023</v>
      </c>
      <c r="AF74" s="232" t="s">
        <v>318</v>
      </c>
      <c r="AG74" s="232" t="s">
        <v>319</v>
      </c>
      <c r="AH74" s="232" t="s">
        <v>320</v>
      </c>
      <c r="AI74" s="232">
        <v>2024</v>
      </c>
    </row>
    <row r="75" spans="2:35" x14ac:dyDescent="0.25">
      <c r="B75" s="13" t="s">
        <v>33</v>
      </c>
      <c r="C75" s="105" t="s">
        <v>17</v>
      </c>
      <c r="D75" s="105" t="s">
        <v>17</v>
      </c>
      <c r="E75" s="105" t="s">
        <v>17</v>
      </c>
      <c r="F75" s="105" t="s">
        <v>17</v>
      </c>
      <c r="G75" s="291" t="s">
        <v>17</v>
      </c>
      <c r="H75" s="291" t="s">
        <v>17</v>
      </c>
      <c r="I75" s="291" t="s">
        <v>17</v>
      </c>
      <c r="J75" s="291" t="s">
        <v>17</v>
      </c>
      <c r="K75" s="291" t="s">
        <v>17</v>
      </c>
      <c r="L75" s="291" t="s">
        <v>17</v>
      </c>
      <c r="M75" s="291" t="s">
        <v>17</v>
      </c>
      <c r="N75" s="291" t="s">
        <v>17</v>
      </c>
      <c r="O75" s="291" t="s">
        <v>17</v>
      </c>
      <c r="P75" s="291" t="s">
        <v>17</v>
      </c>
      <c r="Q75" s="291" t="s">
        <v>17</v>
      </c>
      <c r="R75" s="292">
        <v>0.48</v>
      </c>
      <c r="S75" s="292">
        <v>0.46</v>
      </c>
      <c r="T75" s="293">
        <v>0.44</v>
      </c>
      <c r="U75" s="292">
        <v>0.35274458503685363</v>
      </c>
      <c r="V75" s="292">
        <v>0.31008858013138019</v>
      </c>
      <c r="W75" s="292">
        <v>0.31008858013138019</v>
      </c>
      <c r="X75" s="292">
        <v>0.26910519189088866</v>
      </c>
      <c r="Y75" s="292">
        <f>AE75</f>
        <v>0.20930861558288089</v>
      </c>
      <c r="Z75" s="292"/>
      <c r="AB75" s="292">
        <v>0.26910519189088866</v>
      </c>
      <c r="AC75" s="292">
        <v>0.25904394076366699</v>
      </c>
      <c r="AD75" s="292">
        <v>0.25552603981035871</v>
      </c>
      <c r="AE75" s="292">
        <v>0.20930861558288089</v>
      </c>
      <c r="AF75" s="292">
        <v>0.20930861558288089</v>
      </c>
      <c r="AG75" s="292"/>
      <c r="AH75" s="292"/>
      <c r="AI75" s="292"/>
    </row>
    <row r="76" spans="2:35" x14ac:dyDescent="0.25">
      <c r="B76" s="74" t="s">
        <v>34</v>
      </c>
      <c r="C76" s="106" t="s">
        <v>17</v>
      </c>
      <c r="D76" s="106" t="s">
        <v>17</v>
      </c>
      <c r="E76" s="106" t="s">
        <v>17</v>
      </c>
      <c r="F76" s="106" t="s">
        <v>17</v>
      </c>
      <c r="G76" s="294" t="s">
        <v>17</v>
      </c>
      <c r="H76" s="294" t="s">
        <v>17</v>
      </c>
      <c r="I76" s="294" t="s">
        <v>17</v>
      </c>
      <c r="J76" s="294" t="s">
        <v>17</v>
      </c>
      <c r="K76" s="294" t="s">
        <v>17</v>
      </c>
      <c r="L76" s="294" t="s">
        <v>17</v>
      </c>
      <c r="M76" s="294" t="s">
        <v>17</v>
      </c>
      <c r="N76" s="294" t="s">
        <v>17</v>
      </c>
      <c r="O76" s="294" t="s">
        <v>17</v>
      </c>
      <c r="P76" s="294" t="s">
        <v>17</v>
      </c>
      <c r="Q76" s="294" t="s">
        <v>17</v>
      </c>
      <c r="R76" s="295">
        <v>0.52</v>
      </c>
      <c r="S76" s="295">
        <v>0.54</v>
      </c>
      <c r="T76" s="296">
        <v>0.56000000000000005</v>
      </c>
      <c r="U76" s="295">
        <v>0.64725541496314642</v>
      </c>
      <c r="V76" s="295">
        <v>0.68991141986862003</v>
      </c>
      <c r="W76" s="295">
        <v>0.68991141986862003</v>
      </c>
      <c r="X76" s="295">
        <v>0.73089480810911134</v>
      </c>
      <c r="Y76" s="295">
        <f>+AE76</f>
        <v>0.79069138441711906</v>
      </c>
      <c r="Z76" s="295"/>
      <c r="AB76" s="295">
        <v>0.73089480810911134</v>
      </c>
      <c r="AC76" s="295">
        <v>0.74095605923633301</v>
      </c>
      <c r="AD76" s="295">
        <v>0.74447396018964129</v>
      </c>
      <c r="AE76" s="295">
        <v>0.79069138441711906</v>
      </c>
      <c r="AF76" s="295">
        <v>0.79069138441711906</v>
      </c>
      <c r="AG76" s="295"/>
      <c r="AH76" s="295"/>
      <c r="AI76" s="295"/>
    </row>
    <row r="77" spans="2:35" x14ac:dyDescent="0.25">
      <c r="C77" s="62"/>
      <c r="D77" s="62"/>
      <c r="E77" s="62"/>
      <c r="F77" s="62"/>
      <c r="G77" s="97"/>
      <c r="H77" s="97"/>
      <c r="I77" s="97"/>
      <c r="J77" s="97"/>
      <c r="K77" s="97"/>
      <c r="L77" s="97"/>
      <c r="M77" s="97"/>
      <c r="N77" s="97"/>
      <c r="O77" s="97"/>
      <c r="P77" s="97"/>
      <c r="Q77" s="97"/>
      <c r="R77" s="97"/>
      <c r="S77" s="97"/>
      <c r="T77" s="97"/>
      <c r="U77" s="97"/>
    </row>
    <row r="78" spans="2:35" x14ac:dyDescent="0.25">
      <c r="C78" s="62"/>
      <c r="D78" s="62"/>
      <c r="E78" s="62"/>
      <c r="F78" s="62"/>
      <c r="G78" s="97"/>
      <c r="H78" s="97"/>
      <c r="I78" s="97"/>
      <c r="J78" s="97"/>
      <c r="K78" s="97"/>
      <c r="L78" s="97"/>
      <c r="M78" s="97"/>
      <c r="N78" s="97"/>
      <c r="O78" s="97"/>
      <c r="P78" s="97"/>
      <c r="Q78" s="97"/>
      <c r="R78" s="97"/>
      <c r="S78" s="97"/>
      <c r="T78" s="97"/>
      <c r="U78" s="97"/>
    </row>
    <row r="79" spans="2:35" x14ac:dyDescent="0.25">
      <c r="C79" s="62"/>
      <c r="D79" s="62"/>
      <c r="E79" s="62"/>
      <c r="F79" s="62"/>
      <c r="G79" s="97"/>
      <c r="H79" s="97"/>
      <c r="I79" s="97"/>
      <c r="J79" s="97"/>
      <c r="K79" s="97"/>
      <c r="L79" s="97"/>
      <c r="M79" s="97"/>
      <c r="N79" s="97"/>
      <c r="O79" s="97"/>
      <c r="P79" s="97"/>
      <c r="Q79" s="97"/>
      <c r="R79" s="97"/>
      <c r="S79" s="97"/>
      <c r="T79" s="97"/>
      <c r="U79" s="97"/>
    </row>
    <row r="80" spans="2:35" x14ac:dyDescent="0.25">
      <c r="C80" s="62"/>
      <c r="D80" s="62"/>
      <c r="E80" s="62"/>
      <c r="F80" s="62"/>
      <c r="G80" s="97"/>
      <c r="H80" s="97"/>
      <c r="I80" s="97"/>
      <c r="J80" s="97"/>
      <c r="K80" s="97"/>
      <c r="L80" s="97"/>
      <c r="M80" s="97"/>
      <c r="N80" s="97"/>
      <c r="O80" s="97"/>
      <c r="P80" s="97"/>
      <c r="Q80" s="97"/>
      <c r="R80" s="97"/>
      <c r="S80" s="97"/>
      <c r="T80" s="97"/>
      <c r="U80" s="97"/>
    </row>
    <row r="81" spans="3:47" x14ac:dyDescent="0.25">
      <c r="C81" s="26"/>
      <c r="D81" s="26"/>
      <c r="E81" s="26"/>
      <c r="F81" s="26"/>
      <c r="G81" s="260"/>
      <c r="H81" s="260"/>
      <c r="I81" s="260"/>
      <c r="J81" s="260"/>
      <c r="K81" s="260"/>
      <c r="L81" s="260"/>
      <c r="M81" s="260"/>
      <c r="N81" s="260"/>
      <c r="O81" s="260"/>
      <c r="P81" s="260"/>
      <c r="Q81" s="260"/>
      <c r="R81" s="260"/>
      <c r="S81" s="260"/>
      <c r="T81" s="260"/>
      <c r="U81" s="260"/>
      <c r="AG81" s="70"/>
      <c r="AH81" s="70"/>
      <c r="AS81" s="223"/>
      <c r="AT81" s="223"/>
      <c r="AU81" s="223"/>
    </row>
    <row r="82" spans="3:47" x14ac:dyDescent="0.25">
      <c r="C82" s="25"/>
      <c r="D82" s="25"/>
      <c r="E82" s="25"/>
      <c r="F82" s="25"/>
      <c r="G82" s="253"/>
      <c r="H82" s="253"/>
      <c r="I82" s="253"/>
      <c r="J82" s="253"/>
      <c r="K82" s="253"/>
      <c r="L82" s="253"/>
      <c r="M82" s="253"/>
      <c r="N82" s="253"/>
      <c r="O82" s="253"/>
      <c r="P82" s="253"/>
      <c r="Q82" s="253"/>
      <c r="R82" s="253"/>
      <c r="S82" s="253"/>
      <c r="T82" s="253"/>
      <c r="U82" s="253"/>
      <c r="AG82" s="70"/>
      <c r="AH82" s="70"/>
      <c r="AS82" s="223"/>
      <c r="AT82" s="223"/>
      <c r="AU82" s="223"/>
    </row>
    <row r="83" spans="3:47" x14ac:dyDescent="0.25">
      <c r="C83" s="65"/>
      <c r="D83" s="65"/>
      <c r="E83" s="65"/>
      <c r="F83" s="65"/>
      <c r="G83" s="261"/>
      <c r="H83" s="261"/>
      <c r="I83" s="261"/>
      <c r="J83" s="261"/>
      <c r="K83" s="261"/>
      <c r="L83" s="261"/>
      <c r="M83" s="261"/>
      <c r="N83" s="261"/>
      <c r="O83" s="261"/>
      <c r="P83" s="261"/>
      <c r="Q83" s="261"/>
      <c r="R83" s="261"/>
      <c r="S83" s="261"/>
      <c r="T83" s="261"/>
      <c r="U83" s="261"/>
      <c r="AG83" s="70"/>
      <c r="AH83" s="70"/>
      <c r="AS83" s="223"/>
      <c r="AT83" s="223"/>
      <c r="AU83" s="223"/>
    </row>
    <row r="84" spans="3:47" x14ac:dyDescent="0.25">
      <c r="C84" s="26"/>
      <c r="D84" s="26"/>
      <c r="E84" s="26"/>
      <c r="F84" s="26"/>
      <c r="G84" s="260"/>
      <c r="H84" s="260"/>
      <c r="I84" s="260"/>
      <c r="J84" s="260"/>
      <c r="K84" s="260"/>
      <c r="L84" s="260"/>
      <c r="M84" s="260"/>
      <c r="N84" s="260"/>
      <c r="O84" s="260"/>
      <c r="P84" s="260"/>
      <c r="Q84" s="260"/>
      <c r="R84" s="260"/>
      <c r="S84" s="260"/>
      <c r="T84" s="260"/>
      <c r="U84" s="260"/>
      <c r="AG84" s="70"/>
      <c r="AH84" s="70"/>
      <c r="AS84" s="223"/>
      <c r="AT84" s="223"/>
      <c r="AU84" s="223"/>
    </row>
    <row r="85" spans="3:47" x14ac:dyDescent="0.25">
      <c r="C85" s="25"/>
      <c r="D85" s="25"/>
      <c r="E85" s="25"/>
      <c r="F85" s="25"/>
      <c r="G85" s="253"/>
      <c r="H85" s="253"/>
      <c r="I85" s="253"/>
      <c r="J85" s="253"/>
      <c r="K85" s="253"/>
      <c r="L85" s="253"/>
      <c r="M85" s="253"/>
      <c r="N85" s="253"/>
      <c r="O85" s="253"/>
      <c r="P85" s="253"/>
      <c r="Q85" s="253"/>
      <c r="R85" s="253"/>
      <c r="S85" s="253"/>
      <c r="T85" s="253"/>
      <c r="U85" s="253"/>
      <c r="AG85" s="70"/>
      <c r="AH85" s="70"/>
      <c r="AS85" s="223"/>
      <c r="AT85" s="223"/>
      <c r="AU85" s="223"/>
    </row>
    <row r="86" spans="3:47" x14ac:dyDescent="0.25">
      <c r="C86" s="25"/>
      <c r="D86" s="25"/>
      <c r="E86" s="25"/>
      <c r="F86" s="25"/>
      <c r="G86" s="253"/>
      <c r="H86" s="253"/>
      <c r="I86" s="253"/>
      <c r="J86" s="253"/>
      <c r="K86" s="253"/>
      <c r="L86" s="253"/>
      <c r="M86" s="253"/>
      <c r="N86" s="253"/>
      <c r="O86" s="253"/>
      <c r="P86" s="253"/>
      <c r="Q86" s="253"/>
      <c r="R86" s="253"/>
      <c r="S86" s="253"/>
      <c r="T86" s="253"/>
      <c r="U86" s="253"/>
      <c r="AG86" s="70"/>
      <c r="AH86" s="70"/>
      <c r="AS86" s="223"/>
      <c r="AT86" s="223"/>
      <c r="AU86" s="223"/>
    </row>
    <row r="87" spans="3:47" x14ac:dyDescent="0.25">
      <c r="C87" s="26"/>
      <c r="D87" s="26"/>
      <c r="E87" s="26"/>
      <c r="F87" s="26"/>
      <c r="G87" s="260"/>
      <c r="H87" s="260"/>
      <c r="I87" s="260"/>
      <c r="J87" s="260"/>
      <c r="K87" s="260"/>
      <c r="L87" s="260"/>
      <c r="M87" s="260"/>
      <c r="N87" s="260"/>
      <c r="O87" s="260"/>
      <c r="P87" s="260"/>
      <c r="Q87" s="260"/>
      <c r="R87" s="260"/>
      <c r="S87" s="260"/>
      <c r="T87" s="260"/>
      <c r="U87" s="260"/>
    </row>
    <row r="88" spans="3:47" x14ac:dyDescent="0.25">
      <c r="C88" s="26"/>
      <c r="D88" s="26"/>
      <c r="E88" s="26"/>
      <c r="F88" s="26"/>
      <c r="G88" s="260"/>
      <c r="H88" s="260"/>
      <c r="I88" s="260"/>
      <c r="J88" s="260"/>
      <c r="K88" s="260"/>
      <c r="L88" s="260"/>
      <c r="M88" s="260"/>
      <c r="N88" s="260"/>
      <c r="O88" s="260"/>
      <c r="P88" s="260"/>
      <c r="Q88" s="260"/>
      <c r="R88" s="260"/>
      <c r="S88" s="260"/>
      <c r="T88" s="260"/>
      <c r="U88" s="260"/>
    </row>
    <row r="89" spans="3:47" x14ac:dyDescent="0.25">
      <c r="C89" s="25"/>
      <c r="D89" s="25"/>
      <c r="E89" s="25"/>
      <c r="F89" s="25"/>
      <c r="G89" s="253"/>
      <c r="H89" s="253"/>
      <c r="I89" s="253"/>
      <c r="J89" s="253"/>
      <c r="K89" s="253"/>
      <c r="L89" s="253"/>
      <c r="M89" s="253"/>
      <c r="N89" s="253"/>
      <c r="O89" s="253"/>
      <c r="P89" s="253"/>
      <c r="Q89" s="253"/>
      <c r="R89" s="253"/>
      <c r="S89" s="253"/>
      <c r="T89" s="253"/>
      <c r="U89" s="253"/>
    </row>
    <row r="90" spans="3:47" x14ac:dyDescent="0.25">
      <c r="C90" s="65"/>
      <c r="D90" s="65"/>
      <c r="E90" s="65"/>
      <c r="F90" s="65"/>
      <c r="G90" s="261"/>
      <c r="H90" s="261"/>
      <c r="I90" s="261"/>
      <c r="J90" s="261"/>
      <c r="K90" s="261"/>
      <c r="L90" s="261"/>
      <c r="M90" s="261"/>
      <c r="N90" s="261"/>
      <c r="O90" s="261"/>
      <c r="P90" s="261"/>
      <c r="Q90" s="261"/>
      <c r="R90" s="261"/>
      <c r="S90" s="261"/>
      <c r="T90" s="261"/>
      <c r="U90" s="261"/>
    </row>
    <row r="91" spans="3:47" x14ac:dyDescent="0.25">
      <c r="C91" s="26"/>
      <c r="D91" s="26"/>
      <c r="E91" s="26"/>
      <c r="F91" s="26"/>
      <c r="G91" s="260"/>
      <c r="H91" s="260"/>
      <c r="I91" s="260"/>
      <c r="J91" s="260"/>
      <c r="K91" s="260"/>
      <c r="L91" s="260"/>
      <c r="M91" s="260"/>
      <c r="N91" s="260"/>
      <c r="O91" s="260"/>
      <c r="P91" s="260"/>
      <c r="Q91" s="260"/>
      <c r="R91" s="260"/>
      <c r="S91" s="260"/>
      <c r="T91" s="260"/>
      <c r="U91" s="260"/>
    </row>
    <row r="92" spans="3:47" x14ac:dyDescent="0.25">
      <c r="C92" s="25"/>
      <c r="D92" s="25"/>
      <c r="E92" s="25"/>
      <c r="F92" s="25"/>
      <c r="G92" s="253"/>
      <c r="H92" s="253"/>
      <c r="I92" s="253"/>
      <c r="J92" s="253"/>
      <c r="K92" s="253"/>
      <c r="L92" s="253"/>
      <c r="M92" s="253"/>
      <c r="N92" s="253"/>
      <c r="O92" s="253"/>
      <c r="P92" s="253"/>
      <c r="Q92" s="253"/>
      <c r="R92" s="253"/>
      <c r="S92" s="253"/>
      <c r="T92" s="253"/>
      <c r="U92" s="253"/>
    </row>
    <row r="93" spans="3:47" x14ac:dyDescent="0.25">
      <c r="C93" s="25"/>
      <c r="D93" s="25"/>
      <c r="E93" s="25"/>
      <c r="F93" s="25"/>
      <c r="G93" s="253"/>
      <c r="H93" s="253"/>
      <c r="I93" s="253"/>
      <c r="J93" s="253"/>
      <c r="K93" s="253"/>
      <c r="L93" s="253"/>
      <c r="M93" s="253"/>
      <c r="N93" s="253"/>
      <c r="O93" s="253"/>
      <c r="P93" s="253"/>
      <c r="Q93" s="253"/>
      <c r="R93" s="253"/>
      <c r="S93" s="253"/>
      <c r="T93" s="253"/>
      <c r="U93" s="253"/>
    </row>
    <row r="94" spans="3:47" x14ac:dyDescent="0.25">
      <c r="C94" s="26"/>
      <c r="D94" s="26"/>
      <c r="E94" s="26"/>
      <c r="F94" s="26"/>
      <c r="G94" s="260"/>
      <c r="H94" s="260"/>
      <c r="I94" s="260"/>
      <c r="J94" s="260"/>
      <c r="K94" s="260"/>
      <c r="L94" s="260"/>
      <c r="M94" s="260"/>
      <c r="N94" s="260"/>
      <c r="O94" s="260"/>
      <c r="P94" s="260"/>
      <c r="Q94" s="260"/>
      <c r="R94" s="260"/>
      <c r="S94" s="260"/>
      <c r="T94" s="260"/>
      <c r="U94" s="260"/>
    </row>
    <row r="95" spans="3:47" x14ac:dyDescent="0.25">
      <c r="C95" s="26"/>
      <c r="D95" s="26"/>
      <c r="E95" s="26"/>
      <c r="F95" s="26"/>
      <c r="G95" s="260"/>
      <c r="H95" s="260"/>
      <c r="I95" s="260"/>
      <c r="J95" s="260"/>
      <c r="K95" s="260"/>
      <c r="L95" s="260"/>
      <c r="M95" s="260"/>
      <c r="N95" s="260"/>
      <c r="O95" s="260"/>
      <c r="P95" s="260"/>
      <c r="Q95" s="260"/>
      <c r="R95" s="260"/>
      <c r="S95" s="260"/>
      <c r="T95" s="260"/>
      <c r="U95" s="260"/>
    </row>
  </sheetData>
  <phoneticPr fontId="3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tabColor rgb="FF8CA7AF"/>
  </sheetPr>
  <dimension ref="A1:AS93"/>
  <sheetViews>
    <sheetView showGridLines="0" zoomScale="75" zoomScaleNormal="75" workbookViewId="0">
      <pane xSplit="2" ySplit="3" topLeftCell="AB16" activePane="bottomRight" state="frozen"/>
      <selection activeCell="B2" sqref="B2"/>
      <selection pane="topRight" activeCell="B2" sqref="B2"/>
      <selection pane="bottomLeft" activeCell="B2" sqref="B2"/>
      <selection pane="bottomRight" activeCell="A39" sqref="A39:XFD52"/>
    </sheetView>
  </sheetViews>
  <sheetFormatPr defaultColWidth="9.140625" defaultRowHeight="15" x14ac:dyDescent="0.25"/>
  <cols>
    <col min="1" max="1" width="5.5703125" customWidth="1"/>
    <col min="2" max="2" width="50.5703125" customWidth="1"/>
    <col min="3" max="9" width="0" style="223" hidden="1" customWidth="1"/>
    <col min="10" max="44" width="9.140625" style="223"/>
  </cols>
  <sheetData>
    <row r="1" spans="1:45" ht="5.0999999999999996" customHeight="1" x14ac:dyDescent="0.25">
      <c r="Q1" s="236"/>
      <c r="R1" s="236"/>
      <c r="S1" s="236"/>
      <c r="T1" s="236"/>
      <c r="U1" s="236"/>
    </row>
    <row r="2" spans="1:45" ht="30" customHeight="1" x14ac:dyDescent="0.25">
      <c r="B2" s="170" t="s">
        <v>35</v>
      </c>
      <c r="C2" s="267"/>
      <c r="D2" s="267"/>
      <c r="E2" s="267"/>
      <c r="F2" s="267"/>
      <c r="G2" s="224"/>
      <c r="H2" s="224"/>
      <c r="I2" s="224"/>
      <c r="J2" s="224"/>
      <c r="K2" s="224"/>
      <c r="L2" s="224"/>
      <c r="M2" s="225"/>
      <c r="N2" s="225"/>
      <c r="O2" s="226"/>
      <c r="P2" s="225"/>
      <c r="U2" s="227"/>
    </row>
    <row r="3" spans="1:45" x14ac:dyDescent="0.25">
      <c r="B3" s="164" t="s">
        <v>404</v>
      </c>
      <c r="C3" s="228">
        <v>2001</v>
      </c>
      <c r="D3" s="228">
        <v>2002</v>
      </c>
      <c r="E3" s="228">
        <v>2003</v>
      </c>
      <c r="F3" s="228">
        <v>2004</v>
      </c>
      <c r="G3" s="228">
        <v>2005</v>
      </c>
      <c r="H3" s="228">
        <v>2006</v>
      </c>
      <c r="I3" s="228">
        <v>2007</v>
      </c>
      <c r="J3" s="228">
        <v>2008</v>
      </c>
      <c r="K3" s="228">
        <v>2009</v>
      </c>
      <c r="L3" s="228">
        <v>2010</v>
      </c>
      <c r="M3" s="228">
        <v>2011</v>
      </c>
      <c r="N3" s="228">
        <v>2012</v>
      </c>
      <c r="O3" s="228">
        <v>2013</v>
      </c>
      <c r="P3" s="228">
        <v>2014</v>
      </c>
      <c r="Q3" s="228">
        <v>2015</v>
      </c>
      <c r="R3" s="228">
        <v>2016</v>
      </c>
      <c r="S3" s="228">
        <v>2017</v>
      </c>
      <c r="T3" s="228">
        <v>2018</v>
      </c>
      <c r="U3" s="228">
        <v>2019</v>
      </c>
      <c r="V3" s="228">
        <v>2020</v>
      </c>
      <c r="W3" s="228">
        <v>2021</v>
      </c>
      <c r="X3" s="228">
        <v>2022</v>
      </c>
      <c r="Y3" s="229">
        <v>2023</v>
      </c>
      <c r="Z3" s="230">
        <v>2024</v>
      </c>
      <c r="AB3" s="231" t="s">
        <v>291</v>
      </c>
      <c r="AC3" s="231" t="s">
        <v>292</v>
      </c>
      <c r="AD3" s="231" t="s">
        <v>293</v>
      </c>
      <c r="AE3" s="231">
        <v>2023</v>
      </c>
      <c r="AF3" s="232" t="s">
        <v>318</v>
      </c>
      <c r="AG3" s="232" t="s">
        <v>319</v>
      </c>
      <c r="AH3" s="232" t="s">
        <v>320</v>
      </c>
      <c r="AI3" s="232">
        <v>2024</v>
      </c>
      <c r="AK3" s="231" t="s">
        <v>291</v>
      </c>
      <c r="AL3" s="231" t="s">
        <v>296</v>
      </c>
      <c r="AM3" s="231" t="s">
        <v>294</v>
      </c>
      <c r="AN3" s="231" t="s">
        <v>295</v>
      </c>
      <c r="AO3" s="232" t="s">
        <v>318</v>
      </c>
      <c r="AP3" s="232" t="s">
        <v>321</v>
      </c>
      <c r="AQ3" s="232" t="s">
        <v>322</v>
      </c>
      <c r="AR3" s="232" t="s">
        <v>323</v>
      </c>
    </row>
    <row r="4" spans="1:45" s="6" customFormat="1" x14ac:dyDescent="0.25">
      <c r="A4"/>
      <c r="B4" s="63" t="s">
        <v>242</v>
      </c>
      <c r="C4" s="297" t="s">
        <v>17</v>
      </c>
      <c r="D4" s="297" t="s">
        <v>17</v>
      </c>
      <c r="E4" s="297" t="s">
        <v>17</v>
      </c>
      <c r="F4" s="297" t="s">
        <v>17</v>
      </c>
      <c r="G4" s="297" t="s">
        <v>17</v>
      </c>
      <c r="H4" s="297" t="s">
        <v>17</v>
      </c>
      <c r="I4" s="297" t="s">
        <v>17</v>
      </c>
      <c r="J4" s="297" t="s">
        <v>17</v>
      </c>
      <c r="K4" s="297" t="s">
        <v>17</v>
      </c>
      <c r="L4" s="297" t="s">
        <v>17</v>
      </c>
      <c r="M4" s="297" t="s">
        <v>17</v>
      </c>
      <c r="N4" s="297" t="s">
        <v>17</v>
      </c>
      <c r="O4" s="297" t="s">
        <v>17</v>
      </c>
      <c r="P4" s="297" t="s">
        <v>17</v>
      </c>
      <c r="Q4" s="298"/>
      <c r="R4" s="298"/>
      <c r="S4" s="298">
        <v>2685.7931201863744</v>
      </c>
      <c r="T4" s="298">
        <v>2605.3541714731359</v>
      </c>
      <c r="U4" s="298">
        <v>2584.1930197883253</v>
      </c>
      <c r="V4" s="298">
        <v>2594.632719888255</v>
      </c>
      <c r="W4" s="298">
        <v>1314.1473829019924</v>
      </c>
      <c r="X4" s="298">
        <v>3833.5428537008138</v>
      </c>
      <c r="Y4" s="298">
        <f t="shared" ref="Y4:Y17" si="0">AE4</f>
        <v>2572.1269652905075</v>
      </c>
      <c r="Z4" s="298"/>
      <c r="AA4" s="251"/>
      <c r="AB4" s="298">
        <v>708.71209215859164</v>
      </c>
      <c r="AC4" s="298">
        <v>1286.5386101102349</v>
      </c>
      <c r="AD4" s="298">
        <v>1853.036258832288</v>
      </c>
      <c r="AE4" s="298">
        <f>AE5+AE6</f>
        <v>2572.1269652905075</v>
      </c>
      <c r="AF4" s="298">
        <v>861.06697678150283</v>
      </c>
      <c r="AG4" s="298"/>
      <c r="AH4" s="298"/>
      <c r="AI4" s="298"/>
      <c r="AJ4" s="251"/>
      <c r="AK4" s="298">
        <f t="shared" ref="AK4:AK17" si="1">AB4</f>
        <v>708.71209215859164</v>
      </c>
      <c r="AL4" s="298">
        <f t="shared" ref="AL4:AL17" si="2">AC4-AB4</f>
        <v>577.82651795164327</v>
      </c>
      <c r="AM4" s="298">
        <f t="shared" ref="AM4:AM17" si="3">AD4-AC4</f>
        <v>566.4976487220531</v>
      </c>
      <c r="AN4" s="298">
        <f t="shared" ref="AN4:AN17" si="4">AE4-AD4</f>
        <v>719.09070645821953</v>
      </c>
      <c r="AO4" s="298">
        <f t="shared" ref="AO4:AO17" si="5">AF4</f>
        <v>861.06697678150283</v>
      </c>
      <c r="AP4" s="298"/>
      <c r="AQ4" s="298"/>
      <c r="AR4" s="298"/>
    </row>
    <row r="5" spans="1:45" x14ac:dyDescent="0.25">
      <c r="B5" s="13" t="s">
        <v>325</v>
      </c>
      <c r="C5" s="268" t="s">
        <v>17</v>
      </c>
      <c r="D5" s="268" t="s">
        <v>17</v>
      </c>
      <c r="E5" s="268" t="s">
        <v>17</v>
      </c>
      <c r="F5" s="268" t="s">
        <v>17</v>
      </c>
      <c r="G5" s="268" t="s">
        <v>17</v>
      </c>
      <c r="H5" s="268" t="s">
        <v>17</v>
      </c>
      <c r="I5" s="268" t="s">
        <v>17</v>
      </c>
      <c r="J5" s="268" t="s">
        <v>17</v>
      </c>
      <c r="K5" s="268" t="s">
        <v>17</v>
      </c>
      <c r="L5" s="268" t="s">
        <v>17</v>
      </c>
      <c r="M5" s="268" t="s">
        <v>17</v>
      </c>
      <c r="N5" s="268" t="s">
        <v>17</v>
      </c>
      <c r="O5" s="268" t="s">
        <v>17</v>
      </c>
      <c r="P5" s="268" t="s">
        <v>17</v>
      </c>
      <c r="Q5" s="268" t="s">
        <v>17</v>
      </c>
      <c r="R5" s="268" t="s">
        <v>17</v>
      </c>
      <c r="S5" s="253">
        <v>3383.0516946046405</v>
      </c>
      <c r="T5" s="253">
        <v>3286.66607970418</v>
      </c>
      <c r="U5" s="253">
        <v>3716.1831616609807</v>
      </c>
      <c r="V5" s="253">
        <v>3504.254208857255</v>
      </c>
      <c r="W5" s="253">
        <v>3735.0944332469921</v>
      </c>
      <c r="X5" s="253">
        <v>4522.4583364073105</v>
      </c>
      <c r="Y5" s="253">
        <f t="shared" si="0"/>
        <v>5023.2537662336026</v>
      </c>
      <c r="Z5" s="253"/>
      <c r="AB5" s="253">
        <v>1415.4758220632948</v>
      </c>
      <c r="AC5" s="253">
        <v>2464.2951454571003</v>
      </c>
      <c r="AD5" s="253">
        <v>3830.0639053889427</v>
      </c>
      <c r="AE5" s="473">
        <v>5023.2537662336026</v>
      </c>
      <c r="AF5" s="253">
        <v>1342.0745960781544</v>
      </c>
      <c r="AG5" s="253"/>
      <c r="AH5" s="253"/>
      <c r="AI5" s="253"/>
      <c r="AK5" s="253">
        <f t="shared" si="1"/>
        <v>1415.4758220632948</v>
      </c>
      <c r="AL5" s="253">
        <f t="shared" si="2"/>
        <v>1048.8193233938055</v>
      </c>
      <c r="AM5" s="253">
        <f t="shared" si="3"/>
        <v>1365.7687599318424</v>
      </c>
      <c r="AN5" s="253">
        <f>AE5-AD5</f>
        <v>1193.18986084466</v>
      </c>
      <c r="AO5" s="253">
        <f t="shared" si="5"/>
        <v>1342.0745960781544</v>
      </c>
      <c r="AP5" s="253"/>
      <c r="AQ5" s="253"/>
      <c r="AR5" s="253"/>
    </row>
    <row r="6" spans="1:45" x14ac:dyDescent="0.25">
      <c r="B6" s="13" t="s">
        <v>405</v>
      </c>
      <c r="C6" s="268" t="s">
        <v>17</v>
      </c>
      <c r="D6" s="268" t="s">
        <v>17</v>
      </c>
      <c r="E6" s="268" t="s">
        <v>17</v>
      </c>
      <c r="F6" s="268" t="s">
        <v>17</v>
      </c>
      <c r="G6" s="268" t="s">
        <v>17</v>
      </c>
      <c r="H6" s="268" t="s">
        <v>17</v>
      </c>
      <c r="I6" s="268" t="s">
        <v>17</v>
      </c>
      <c r="J6" s="268" t="s">
        <v>17</v>
      </c>
      <c r="K6" s="268" t="s">
        <v>17</v>
      </c>
      <c r="L6" s="268" t="s">
        <v>17</v>
      </c>
      <c r="M6" s="268" t="s">
        <v>17</v>
      </c>
      <c r="N6" s="268" t="s">
        <v>17</v>
      </c>
      <c r="O6" s="268" t="s">
        <v>17</v>
      </c>
      <c r="P6" s="268" t="s">
        <v>17</v>
      </c>
      <c r="Q6" s="268" t="s">
        <v>17</v>
      </c>
      <c r="R6" s="268" t="s">
        <v>17</v>
      </c>
      <c r="S6" s="253">
        <v>-697.25857441826599</v>
      </c>
      <c r="T6" s="253">
        <v>-681.31190823104419</v>
      </c>
      <c r="U6" s="253">
        <v>-1131.9901418726554</v>
      </c>
      <c r="V6" s="253">
        <v>-909.62148896899987</v>
      </c>
      <c r="W6" s="253">
        <v>-2420.9470503449998</v>
      </c>
      <c r="X6" s="253">
        <v>-688.91548270649673</v>
      </c>
      <c r="Y6" s="253">
        <f t="shared" si="0"/>
        <v>-2451.1268009430951</v>
      </c>
      <c r="Z6" s="253"/>
      <c r="AA6" s="417"/>
      <c r="AB6" s="253">
        <v>-706.76372990470315</v>
      </c>
      <c r="AC6" s="253">
        <v>-1177.7565353468653</v>
      </c>
      <c r="AD6" s="253">
        <v>-1977.0276465566546</v>
      </c>
      <c r="AE6" s="253">
        <v>-2451.1268009430951</v>
      </c>
      <c r="AF6" s="253">
        <v>-481.00761929665157</v>
      </c>
      <c r="AG6" s="253"/>
      <c r="AH6" s="253"/>
      <c r="AI6" s="253"/>
      <c r="AK6" s="253">
        <f t="shared" si="1"/>
        <v>-706.76372990470315</v>
      </c>
      <c r="AL6" s="253">
        <f t="shared" si="2"/>
        <v>-470.99280544216219</v>
      </c>
      <c r="AM6" s="253">
        <f t="shared" si="3"/>
        <v>-799.2711112097893</v>
      </c>
      <c r="AN6" s="253">
        <f t="shared" si="4"/>
        <v>-474.09915438644043</v>
      </c>
      <c r="AO6" s="253">
        <f t="shared" si="5"/>
        <v>-481.00761929665157</v>
      </c>
      <c r="AP6" s="253"/>
      <c r="AQ6" s="253"/>
      <c r="AR6" s="253"/>
    </row>
    <row r="7" spans="1:45" x14ac:dyDescent="0.25">
      <c r="B7" s="12" t="s">
        <v>243</v>
      </c>
      <c r="C7" s="253">
        <f t="shared" ref="C7:I7" si="6">-C23</f>
        <v>0</v>
      </c>
      <c r="D7" s="253">
        <f t="shared" si="6"/>
        <v>0</v>
      </c>
      <c r="E7" s="253">
        <f t="shared" si="6"/>
        <v>0</v>
      </c>
      <c r="F7" s="253">
        <f t="shared" si="6"/>
        <v>0</v>
      </c>
      <c r="G7" s="253">
        <f t="shared" si="6"/>
        <v>0</v>
      </c>
      <c r="H7" s="253">
        <f t="shared" si="6"/>
        <v>0</v>
      </c>
      <c r="I7" s="253">
        <f t="shared" si="6"/>
        <v>0</v>
      </c>
      <c r="K7" s="268" t="s">
        <v>17</v>
      </c>
      <c r="L7" s="268" t="s">
        <v>17</v>
      </c>
      <c r="M7" s="268" t="s">
        <v>17</v>
      </c>
      <c r="N7" s="268" t="s">
        <v>17</v>
      </c>
      <c r="O7" s="268" t="s">
        <v>17</v>
      </c>
      <c r="P7" s="268" t="s">
        <v>17</v>
      </c>
      <c r="Q7" s="268" t="s">
        <v>17</v>
      </c>
      <c r="R7" s="268" t="s">
        <v>17</v>
      </c>
      <c r="S7" s="253">
        <v>-753.90334064007118</v>
      </c>
      <c r="T7" s="253">
        <v>-663.85343028576813</v>
      </c>
      <c r="U7" s="253">
        <v>-656.67903337224902</v>
      </c>
      <c r="V7" s="253">
        <v>-627.31555652739996</v>
      </c>
      <c r="W7" s="253">
        <v>-639.24231367499999</v>
      </c>
      <c r="X7" s="253">
        <v>-710.19976789963778</v>
      </c>
      <c r="Y7" s="253">
        <f t="shared" si="0"/>
        <v>-727.79280680330726</v>
      </c>
      <c r="Z7" s="253"/>
      <c r="AB7" s="253">
        <v>-218.87615369926721</v>
      </c>
      <c r="AC7" s="253">
        <v>-361.39538351021633</v>
      </c>
      <c r="AD7" s="253">
        <v>-571.55401169430115</v>
      </c>
      <c r="AE7" s="253">
        <v>-727.79280680330726</v>
      </c>
      <c r="AF7" s="253">
        <v>-219.05809815113608</v>
      </c>
      <c r="AG7" s="253"/>
      <c r="AH7" s="253"/>
      <c r="AI7" s="253"/>
      <c r="AK7" s="253">
        <f t="shared" si="1"/>
        <v>-218.87615369926721</v>
      </c>
      <c r="AL7" s="253">
        <f t="shared" si="2"/>
        <v>-142.51922981094913</v>
      </c>
      <c r="AM7" s="253">
        <f t="shared" si="3"/>
        <v>-210.15862818408482</v>
      </c>
      <c r="AN7" s="253">
        <f t="shared" si="4"/>
        <v>-156.23879510900611</v>
      </c>
      <c r="AO7" s="253">
        <f t="shared" si="5"/>
        <v>-219.05809815113608</v>
      </c>
      <c r="AP7" s="253"/>
      <c r="AQ7" s="253"/>
      <c r="AR7" s="253"/>
    </row>
    <row r="8" spans="1:45" x14ac:dyDescent="0.25">
      <c r="B8" s="14" t="s">
        <v>406</v>
      </c>
      <c r="C8" s="268" t="s">
        <v>17</v>
      </c>
      <c r="D8" s="268" t="s">
        <v>17</v>
      </c>
      <c r="E8" s="268" t="s">
        <v>17</v>
      </c>
      <c r="F8" s="268" t="s">
        <v>17</v>
      </c>
      <c r="G8" s="268" t="s">
        <v>17</v>
      </c>
      <c r="H8" s="268" t="s">
        <v>17</v>
      </c>
      <c r="I8" s="268" t="s">
        <v>17</v>
      </c>
      <c r="J8" s="268" t="s">
        <v>17</v>
      </c>
      <c r="K8" s="268" t="s">
        <v>17</v>
      </c>
      <c r="L8" s="268" t="s">
        <v>17</v>
      </c>
      <c r="M8" s="268" t="s">
        <v>17</v>
      </c>
      <c r="N8" s="268" t="s">
        <v>17</v>
      </c>
      <c r="O8" s="268" t="s">
        <v>17</v>
      </c>
      <c r="P8" s="268" t="s">
        <v>17</v>
      </c>
      <c r="Q8" s="268" t="s">
        <v>17</v>
      </c>
      <c r="R8" s="268" t="s">
        <v>17</v>
      </c>
      <c r="S8" s="253">
        <v>-630.48600182877612</v>
      </c>
      <c r="T8" s="253">
        <v>-565.39295318573818</v>
      </c>
      <c r="U8" s="253">
        <v>-549.474808531235</v>
      </c>
      <c r="V8" s="253">
        <v>-422.41013028649996</v>
      </c>
      <c r="W8" s="253">
        <v>-433.43470205730023</v>
      </c>
      <c r="X8" s="253">
        <v>-698.73676739107577</v>
      </c>
      <c r="Y8" s="253">
        <f t="shared" si="0"/>
        <v>-766.73863638221428</v>
      </c>
      <c r="Z8" s="253"/>
      <c r="AB8" s="253">
        <v>-206.76418306219293</v>
      </c>
      <c r="AC8" s="253">
        <v>-367.86895972148125</v>
      </c>
      <c r="AD8" s="253">
        <v>-553.88720263011237</v>
      </c>
      <c r="AE8" s="253">
        <v>-766.73863638221428</v>
      </c>
      <c r="AF8" s="253">
        <v>-192.96627100359208</v>
      </c>
      <c r="AG8" s="253"/>
      <c r="AH8" s="253"/>
      <c r="AI8" s="253"/>
      <c r="AK8" s="253">
        <f t="shared" si="1"/>
        <v>-206.76418306219293</v>
      </c>
      <c r="AL8" s="253">
        <f t="shared" si="2"/>
        <v>-161.10477665928832</v>
      </c>
      <c r="AM8" s="253">
        <f t="shared" si="3"/>
        <v>-186.01824290863112</v>
      </c>
      <c r="AN8" s="253">
        <f t="shared" si="4"/>
        <v>-212.85143375210191</v>
      </c>
      <c r="AO8" s="253">
        <f t="shared" si="5"/>
        <v>-192.96627100359208</v>
      </c>
      <c r="AP8" s="253"/>
      <c r="AQ8" s="253"/>
      <c r="AR8" s="253"/>
    </row>
    <row r="9" spans="1:45" x14ac:dyDescent="0.25">
      <c r="B9" s="14" t="s">
        <v>407</v>
      </c>
      <c r="C9" s="268" t="s">
        <v>17</v>
      </c>
      <c r="D9" s="268" t="s">
        <v>17</v>
      </c>
      <c r="E9" s="268" t="s">
        <v>17</v>
      </c>
      <c r="F9" s="268" t="s">
        <v>17</v>
      </c>
      <c r="G9" s="268" t="s">
        <v>17</v>
      </c>
      <c r="H9" s="268" t="s">
        <v>17</v>
      </c>
      <c r="I9" s="268" t="s">
        <v>17</v>
      </c>
      <c r="J9" s="268" t="s">
        <v>17</v>
      </c>
      <c r="K9" s="268" t="s">
        <v>17</v>
      </c>
      <c r="L9" s="268" t="s">
        <v>17</v>
      </c>
      <c r="M9" s="268" t="s">
        <v>17</v>
      </c>
      <c r="N9" s="268" t="s">
        <v>17</v>
      </c>
      <c r="O9" s="268" t="s">
        <v>17</v>
      </c>
      <c r="P9" s="268" t="s">
        <v>17</v>
      </c>
      <c r="Q9" s="268" t="s">
        <v>17</v>
      </c>
      <c r="R9" s="268" t="s">
        <v>17</v>
      </c>
      <c r="S9" s="253">
        <v>-194.98848365022957</v>
      </c>
      <c r="T9" s="253">
        <v>-173.68119903969168</v>
      </c>
      <c r="U9" s="253">
        <v>-80.79966528688</v>
      </c>
      <c r="V9" s="253">
        <v>-55.334868573700007</v>
      </c>
      <c r="W9" s="253">
        <v>-83.529928902400002</v>
      </c>
      <c r="X9" s="253">
        <v>-128.92691740000402</v>
      </c>
      <c r="Y9" s="253">
        <f t="shared" si="0"/>
        <v>-130.53466091996899</v>
      </c>
      <c r="Z9" s="253"/>
      <c r="AB9" s="253">
        <v>-19.023501599977003</v>
      </c>
      <c r="AC9" s="253">
        <v>-60.891182029990006</v>
      </c>
      <c r="AD9" s="253">
        <v>-95.374141729949983</v>
      </c>
      <c r="AE9" s="253">
        <v>-130.53466091996899</v>
      </c>
      <c r="AF9" s="253">
        <v>-34.647724159996002</v>
      </c>
      <c r="AG9" s="253"/>
      <c r="AH9" s="253"/>
      <c r="AI9" s="253"/>
      <c r="AK9" s="253">
        <f t="shared" si="1"/>
        <v>-19.023501599977003</v>
      </c>
      <c r="AL9" s="253">
        <f t="shared" si="2"/>
        <v>-41.867680430013003</v>
      </c>
      <c r="AM9" s="253">
        <f t="shared" si="3"/>
        <v>-34.482959699959977</v>
      </c>
      <c r="AN9" s="253">
        <f t="shared" si="4"/>
        <v>-35.160519190019002</v>
      </c>
      <c r="AO9" s="253">
        <f t="shared" si="5"/>
        <v>-34.647724159996002</v>
      </c>
      <c r="AP9" s="253"/>
      <c r="AQ9" s="253"/>
      <c r="AR9" s="253"/>
    </row>
    <row r="10" spans="1:45" x14ac:dyDescent="0.25">
      <c r="B10" s="14" t="s">
        <v>408</v>
      </c>
      <c r="C10" s="268" t="s">
        <v>17</v>
      </c>
      <c r="D10" s="268" t="s">
        <v>17</v>
      </c>
      <c r="E10" s="268" t="s">
        <v>17</v>
      </c>
      <c r="F10" s="268" t="s">
        <v>17</v>
      </c>
      <c r="G10" s="268" t="s">
        <v>17</v>
      </c>
      <c r="H10" s="268" t="s">
        <v>17</v>
      </c>
      <c r="I10" s="268" t="s">
        <v>17</v>
      </c>
      <c r="J10" s="268" t="s">
        <v>17</v>
      </c>
      <c r="K10" s="268" t="s">
        <v>17</v>
      </c>
      <c r="L10" s="268" t="s">
        <v>17</v>
      </c>
      <c r="M10" s="268" t="s">
        <v>17</v>
      </c>
      <c r="N10" s="268" t="s">
        <v>17</v>
      </c>
      <c r="O10" s="268" t="s">
        <v>17</v>
      </c>
      <c r="P10" s="268" t="s">
        <v>17</v>
      </c>
      <c r="Q10" s="268" t="s">
        <v>17</v>
      </c>
      <c r="R10" s="268" t="s">
        <v>17</v>
      </c>
      <c r="S10" s="253">
        <v>-319.02610336243049</v>
      </c>
      <c r="T10" s="253">
        <v>-13.096109396167407</v>
      </c>
      <c r="U10" s="253">
        <v>128.97815777777402</v>
      </c>
      <c r="V10" s="253">
        <v>297.40637771570005</v>
      </c>
      <c r="W10" s="253">
        <v>469.18313807810006</v>
      </c>
      <c r="X10" s="253">
        <v>272.9841374497197</v>
      </c>
      <c r="Y10" s="253">
        <f t="shared" si="0"/>
        <v>129.34344063108026</v>
      </c>
      <c r="Z10" s="253"/>
      <c r="AB10" s="253">
        <v>-47.52620488998889</v>
      </c>
      <c r="AC10" s="253">
        <v>-118.60600044273292</v>
      </c>
      <c r="AD10" s="253">
        <v>276.79425419065529</v>
      </c>
      <c r="AE10" s="253">
        <v>129.34344063108026</v>
      </c>
      <c r="AF10" s="253">
        <v>17.801767275428563</v>
      </c>
      <c r="AG10" s="253"/>
      <c r="AH10" s="253"/>
      <c r="AI10" s="253"/>
      <c r="AK10" s="253">
        <f t="shared" si="1"/>
        <v>-47.52620488998889</v>
      </c>
      <c r="AL10" s="253">
        <f t="shared" si="2"/>
        <v>-71.079795552744031</v>
      </c>
      <c r="AM10" s="253">
        <f t="shared" si="3"/>
        <v>395.40025463338822</v>
      </c>
      <c r="AN10" s="253">
        <f t="shared" si="4"/>
        <v>-147.45081355957504</v>
      </c>
      <c r="AO10" s="253">
        <f t="shared" si="5"/>
        <v>17.801767275428563</v>
      </c>
      <c r="AP10" s="253"/>
      <c r="AQ10" s="253"/>
      <c r="AR10" s="253"/>
    </row>
    <row r="11" spans="1:45" x14ac:dyDescent="0.25">
      <c r="B11" s="72" t="s">
        <v>333</v>
      </c>
      <c r="C11" s="277" t="s">
        <v>17</v>
      </c>
      <c r="D11" s="277" t="s">
        <v>17</v>
      </c>
      <c r="E11" s="277" t="s">
        <v>17</v>
      </c>
      <c r="F11" s="277" t="s">
        <v>17</v>
      </c>
      <c r="G11" s="277" t="s">
        <v>17</v>
      </c>
      <c r="H11" s="277" t="s">
        <v>17</v>
      </c>
      <c r="I11" s="277" t="s">
        <v>17</v>
      </c>
      <c r="J11" s="277" t="s">
        <v>17</v>
      </c>
      <c r="K11" s="277" t="s">
        <v>17</v>
      </c>
      <c r="L11" s="277" t="s">
        <v>17</v>
      </c>
      <c r="M11" s="277" t="s">
        <v>17</v>
      </c>
      <c r="N11" s="277" t="s">
        <v>17</v>
      </c>
      <c r="O11" s="277" t="s">
        <v>17</v>
      </c>
      <c r="P11" s="277" t="s">
        <v>17</v>
      </c>
      <c r="Q11" s="277" t="s">
        <v>17</v>
      </c>
      <c r="R11" s="277" t="s">
        <v>17</v>
      </c>
      <c r="S11" s="269">
        <v>787.38919070486702</v>
      </c>
      <c r="T11" s="269">
        <v>1189.3304795657707</v>
      </c>
      <c r="U11" s="269">
        <v>1426.217670375735</v>
      </c>
      <c r="V11" s="269">
        <v>1786.978542216355</v>
      </c>
      <c r="W11" s="269">
        <v>627.12357634539217</v>
      </c>
      <c r="X11" s="269">
        <v>2568.6635384598158</v>
      </c>
      <c r="Y11" s="269">
        <f t="shared" si="0"/>
        <v>1073.176313397473</v>
      </c>
      <c r="Z11" s="269"/>
      <c r="AB11" s="269">
        <v>216.52207444632205</v>
      </c>
      <c r="AC11" s="269">
        <v>367.68774580497819</v>
      </c>
      <c r="AD11" s="269">
        <v>898.92797112297217</v>
      </c>
      <c r="AE11" s="269">
        <v>1073.176313397473</v>
      </c>
      <c r="AF11" s="269">
        <v>430.85121760586395</v>
      </c>
      <c r="AG11" s="269"/>
      <c r="AH11" s="269"/>
      <c r="AI11" s="269"/>
      <c r="AK11" s="269">
        <f t="shared" si="1"/>
        <v>216.52207444632205</v>
      </c>
      <c r="AL11" s="269">
        <f t="shared" si="2"/>
        <v>151.16567135865614</v>
      </c>
      <c r="AM11" s="269">
        <f t="shared" si="3"/>
        <v>531.24022531799392</v>
      </c>
      <c r="AN11" s="269">
        <f t="shared" si="4"/>
        <v>174.24834227450083</v>
      </c>
      <c r="AO11" s="269">
        <f t="shared" si="5"/>
        <v>430.85121760586395</v>
      </c>
      <c r="AP11" s="269"/>
      <c r="AQ11" s="269"/>
      <c r="AR11" s="269"/>
    </row>
    <row r="12" spans="1:45" x14ac:dyDescent="0.25">
      <c r="B12" s="14" t="s">
        <v>409</v>
      </c>
      <c r="C12" s="415" t="s">
        <v>17</v>
      </c>
      <c r="D12" s="415" t="s">
        <v>17</v>
      </c>
      <c r="E12" s="415" t="s">
        <v>17</v>
      </c>
      <c r="F12" s="415" t="s">
        <v>17</v>
      </c>
      <c r="G12" s="415" t="s">
        <v>17</v>
      </c>
      <c r="H12" s="415" t="s">
        <v>17</v>
      </c>
      <c r="I12" s="415" t="s">
        <v>17</v>
      </c>
      <c r="J12" s="415" t="s">
        <v>17</v>
      </c>
      <c r="K12" s="415" t="s">
        <v>17</v>
      </c>
      <c r="L12" s="415" t="s">
        <v>17</v>
      </c>
      <c r="M12" s="415" t="s">
        <v>17</v>
      </c>
      <c r="N12" s="415" t="s">
        <v>17</v>
      </c>
      <c r="O12" s="415" t="s">
        <v>17</v>
      </c>
      <c r="P12" s="415" t="s">
        <v>17</v>
      </c>
      <c r="Q12" s="415" t="s">
        <v>17</v>
      </c>
      <c r="R12" s="415" t="s">
        <v>17</v>
      </c>
      <c r="S12" s="416">
        <v>1777.179060772263</v>
      </c>
      <c r="T12" s="416">
        <v>-350.21905986644026</v>
      </c>
      <c r="U12" s="416">
        <v>-1168.2916899934221</v>
      </c>
      <c r="V12" s="416">
        <v>-924.2474101081001</v>
      </c>
      <c r="W12" s="416">
        <v>-1985.1216411610999</v>
      </c>
      <c r="X12" s="416">
        <v>-3101.5428583135072</v>
      </c>
      <c r="Y12" s="416">
        <f t="shared" si="0"/>
        <v>-3974.3004075346976</v>
      </c>
      <c r="Z12" s="416"/>
      <c r="AA12" s="385"/>
      <c r="AB12" s="416">
        <v>-1160.8498758766286</v>
      </c>
      <c r="AC12" s="416">
        <v>-1990.6598110046718</v>
      </c>
      <c r="AD12" s="416">
        <v>-3894.5227062722097</v>
      </c>
      <c r="AE12" s="416">
        <v>-3974.3004075346976</v>
      </c>
      <c r="AF12" s="416">
        <v>-740.70489915371445</v>
      </c>
      <c r="AG12" s="416"/>
      <c r="AH12" s="416"/>
      <c r="AI12" s="416"/>
      <c r="AJ12" s="385"/>
      <c r="AK12" s="416">
        <f t="shared" si="1"/>
        <v>-1160.8498758766286</v>
      </c>
      <c r="AL12" s="416">
        <f t="shared" si="2"/>
        <v>-829.80993512804321</v>
      </c>
      <c r="AM12" s="416">
        <f t="shared" si="3"/>
        <v>-1903.8628952675379</v>
      </c>
      <c r="AN12" s="416">
        <f t="shared" si="4"/>
        <v>-79.777701262487881</v>
      </c>
      <c r="AO12" s="416">
        <f t="shared" si="5"/>
        <v>-740.70489915371445</v>
      </c>
      <c r="AP12" s="416"/>
      <c r="AQ12" s="416"/>
      <c r="AR12" s="416"/>
    </row>
    <row r="13" spans="1:45" x14ac:dyDescent="0.25">
      <c r="B13" s="14" t="s">
        <v>244</v>
      </c>
      <c r="C13" s="415" t="s">
        <v>17</v>
      </c>
      <c r="D13" s="415" t="s">
        <v>17</v>
      </c>
      <c r="E13" s="415" t="s">
        <v>17</v>
      </c>
      <c r="F13" s="415" t="s">
        <v>17</v>
      </c>
      <c r="G13" s="415" t="s">
        <v>17</v>
      </c>
      <c r="H13" s="415" t="s">
        <v>17</v>
      </c>
      <c r="I13" s="415" t="s">
        <v>17</v>
      </c>
      <c r="J13" s="415" t="s">
        <v>17</v>
      </c>
      <c r="K13" s="415" t="s">
        <v>17</v>
      </c>
      <c r="L13" s="415" t="s">
        <v>17</v>
      </c>
      <c r="M13" s="415" t="s">
        <v>17</v>
      </c>
      <c r="N13" s="415" t="s">
        <v>17</v>
      </c>
      <c r="O13" s="415" t="s">
        <v>17</v>
      </c>
      <c r="P13" s="415" t="s">
        <v>17</v>
      </c>
      <c r="Q13" s="415" t="s">
        <v>17</v>
      </c>
      <c r="R13" s="415" t="s">
        <v>17</v>
      </c>
      <c r="S13" s="416">
        <v>33.969420076649897</v>
      </c>
      <c r="T13" s="416">
        <v>602.25343099187489</v>
      </c>
      <c r="U13" s="416">
        <v>-64.858070641804773</v>
      </c>
      <c r="V13" s="416">
        <v>-48.181337778899987</v>
      </c>
      <c r="W13" s="416">
        <v>717.28121252389985</v>
      </c>
      <c r="X13" s="416">
        <v>-56.839519369157237</v>
      </c>
      <c r="Y13" s="416">
        <f t="shared" si="0"/>
        <v>-383.18636778804853</v>
      </c>
      <c r="Z13" s="416"/>
      <c r="AA13" s="385"/>
      <c r="AB13" s="416">
        <v>-934.81355732473412</v>
      </c>
      <c r="AC13" s="416">
        <v>-1645.1331608810558</v>
      </c>
      <c r="AD13" s="416">
        <v>-1807.1694567145234</v>
      </c>
      <c r="AE13" s="416">
        <v>-383.18636778804853</v>
      </c>
      <c r="AF13" s="416">
        <v>-244.84614295307586</v>
      </c>
      <c r="AG13" s="416"/>
      <c r="AH13" s="416"/>
      <c r="AI13" s="416"/>
      <c r="AJ13" s="385"/>
      <c r="AK13" s="416">
        <f t="shared" si="1"/>
        <v>-934.81355732473412</v>
      </c>
      <c r="AL13" s="416">
        <f t="shared" si="2"/>
        <v>-710.31960355632168</v>
      </c>
      <c r="AM13" s="416">
        <f t="shared" si="3"/>
        <v>-162.03629583346765</v>
      </c>
      <c r="AN13" s="416">
        <f t="shared" si="4"/>
        <v>1423.9830889264749</v>
      </c>
      <c r="AO13" s="416">
        <f t="shared" si="5"/>
        <v>-244.84614295307586</v>
      </c>
      <c r="AP13" s="416"/>
      <c r="AQ13" s="416"/>
      <c r="AR13" s="416"/>
    </row>
    <row r="14" spans="1:45" x14ac:dyDescent="0.25">
      <c r="B14" s="14" t="s">
        <v>410</v>
      </c>
      <c r="C14" s="415" t="s">
        <v>17</v>
      </c>
      <c r="D14" s="415" t="s">
        <v>17</v>
      </c>
      <c r="E14" s="415" t="s">
        <v>17</v>
      </c>
      <c r="F14" s="415" t="s">
        <v>17</v>
      </c>
      <c r="G14" s="415" t="s">
        <v>17</v>
      </c>
      <c r="H14" s="415" t="s">
        <v>17</v>
      </c>
      <c r="I14" s="415" t="s">
        <v>17</v>
      </c>
      <c r="J14" s="415" t="s">
        <v>17</v>
      </c>
      <c r="K14" s="415" t="s">
        <v>17</v>
      </c>
      <c r="L14" s="415" t="s">
        <v>17</v>
      </c>
      <c r="M14" s="415" t="s">
        <v>17</v>
      </c>
      <c r="N14" s="415" t="s">
        <v>17</v>
      </c>
      <c r="O14" s="415" t="s">
        <v>17</v>
      </c>
      <c r="P14" s="415" t="s">
        <v>17</v>
      </c>
      <c r="Q14" s="415" t="s">
        <v>17</v>
      </c>
      <c r="R14" s="415" t="s">
        <v>17</v>
      </c>
      <c r="S14" s="416">
        <v>-690.92443429999992</v>
      </c>
      <c r="T14" s="416">
        <v>-690.80473429000006</v>
      </c>
      <c r="U14" s="416">
        <v>-690.96261991999995</v>
      </c>
      <c r="V14" s="416">
        <v>-691.02619505999996</v>
      </c>
      <c r="W14" s="416">
        <v>-749.76342149000004</v>
      </c>
      <c r="X14" s="416">
        <v>-749.80229226000461</v>
      </c>
      <c r="Y14" s="416">
        <f t="shared" si="0"/>
        <v>-791.42703683000161</v>
      </c>
      <c r="Z14" s="416"/>
      <c r="AA14" s="385"/>
      <c r="AB14" s="416">
        <v>7.8973942436277868E-11</v>
      </c>
      <c r="AC14" s="416">
        <v>-791.42703683003651</v>
      </c>
      <c r="AD14" s="416">
        <v>-791.42703683000741</v>
      </c>
      <c r="AE14" s="416">
        <v>-791.42703683000161</v>
      </c>
      <c r="AF14" s="416">
        <v>0</v>
      </c>
      <c r="AG14" s="416"/>
      <c r="AH14" s="416"/>
      <c r="AI14" s="416"/>
      <c r="AJ14" s="385"/>
      <c r="AK14" s="416">
        <f t="shared" si="1"/>
        <v>7.8973942436277868E-11</v>
      </c>
      <c r="AL14" s="416">
        <f t="shared" si="2"/>
        <v>-791.42703683011553</v>
      </c>
      <c r="AM14" s="416">
        <f t="shared" si="3"/>
        <v>2.9103830456733704E-11</v>
      </c>
      <c r="AN14" s="416">
        <f t="shared" si="4"/>
        <v>5.7980287238024175E-12</v>
      </c>
      <c r="AO14" s="416">
        <f t="shared" si="5"/>
        <v>0</v>
      </c>
      <c r="AP14" s="416"/>
      <c r="AQ14" s="416"/>
      <c r="AR14" s="416"/>
    </row>
    <row r="15" spans="1:45" x14ac:dyDescent="0.25">
      <c r="B15" s="14" t="s">
        <v>411</v>
      </c>
      <c r="C15" s="415" t="s">
        <v>17</v>
      </c>
      <c r="D15" s="415" t="s">
        <v>17</v>
      </c>
      <c r="E15" s="415" t="s">
        <v>17</v>
      </c>
      <c r="F15" s="415" t="s">
        <v>17</v>
      </c>
      <c r="G15" s="415" t="s">
        <v>17</v>
      </c>
      <c r="H15" s="415" t="s">
        <v>17</v>
      </c>
      <c r="I15" s="415" t="s">
        <v>17</v>
      </c>
      <c r="J15" s="415" t="s">
        <v>17</v>
      </c>
      <c r="K15" s="415" t="s">
        <v>17</v>
      </c>
      <c r="L15" s="415" t="s">
        <v>17</v>
      </c>
      <c r="M15" s="415" t="s">
        <v>17</v>
      </c>
      <c r="N15" s="415" t="s">
        <v>17</v>
      </c>
      <c r="O15" s="415" t="s">
        <v>17</v>
      </c>
      <c r="P15" s="415" t="s">
        <v>17</v>
      </c>
      <c r="Q15" s="415" t="s">
        <v>17</v>
      </c>
      <c r="R15" s="415" t="s">
        <v>17</v>
      </c>
      <c r="S15" s="416">
        <v>617.69847673488903</v>
      </c>
      <c r="T15" s="416">
        <v>-13.482332194797985</v>
      </c>
      <c r="U15" s="416">
        <v>-49.471317617774005</v>
      </c>
      <c r="V15" s="416">
        <v>619.87844860339999</v>
      </c>
      <c r="W15" s="416">
        <v>-299.88756923049999</v>
      </c>
      <c r="X15" s="416">
        <v>-320.93729266201728</v>
      </c>
      <c r="Y15" s="416">
        <f t="shared" si="0"/>
        <v>7.1375334410725344</v>
      </c>
      <c r="Z15" s="416"/>
      <c r="AA15" s="385"/>
      <c r="AB15" s="416">
        <v>15.712491375112094</v>
      </c>
      <c r="AC15" s="416">
        <v>-17.302747647817625</v>
      </c>
      <c r="AD15" s="416">
        <v>-80.068683538653147</v>
      </c>
      <c r="AE15" s="416">
        <v>7.1375334410725344</v>
      </c>
      <c r="AF15" s="416">
        <v>-52.875436796991622</v>
      </c>
      <c r="AG15" s="416"/>
      <c r="AH15" s="416"/>
      <c r="AI15" s="416"/>
      <c r="AJ15" s="385"/>
      <c r="AK15" s="416">
        <f t="shared" si="1"/>
        <v>15.712491375112094</v>
      </c>
      <c r="AL15" s="416">
        <f t="shared" si="2"/>
        <v>-33.01523902292972</v>
      </c>
      <c r="AM15" s="416">
        <f t="shared" si="3"/>
        <v>-62.765935890835522</v>
      </c>
      <c r="AN15" s="416">
        <f t="shared" si="4"/>
        <v>87.206216979725681</v>
      </c>
      <c r="AO15" s="416">
        <f t="shared" si="5"/>
        <v>-52.875436796991622</v>
      </c>
      <c r="AP15" s="416"/>
      <c r="AQ15" s="416"/>
      <c r="AR15" s="416"/>
      <c r="AS15" s="187"/>
    </row>
    <row r="16" spans="1:45" x14ac:dyDescent="0.25">
      <c r="B16" s="14" t="s">
        <v>412</v>
      </c>
      <c r="C16" s="415" t="s">
        <v>17</v>
      </c>
      <c r="D16" s="415" t="s">
        <v>17</v>
      </c>
      <c r="E16" s="415" t="s">
        <v>17</v>
      </c>
      <c r="F16" s="415" t="s">
        <v>17</v>
      </c>
      <c r="G16" s="415" t="s">
        <v>17</v>
      </c>
      <c r="H16" s="415" t="s">
        <v>17</v>
      </c>
      <c r="I16" s="415" t="s">
        <v>17</v>
      </c>
      <c r="J16" s="415" t="s">
        <v>17</v>
      </c>
      <c r="K16" s="415" t="s">
        <v>17</v>
      </c>
      <c r="L16" s="415" t="s">
        <v>17</v>
      </c>
      <c r="M16" s="415" t="s">
        <v>17</v>
      </c>
      <c r="N16" s="415" t="s">
        <v>17</v>
      </c>
      <c r="O16" s="415" t="s">
        <v>17</v>
      </c>
      <c r="P16" s="415" t="s">
        <v>17</v>
      </c>
      <c r="Q16" s="415" t="s">
        <v>17</v>
      </c>
      <c r="R16" s="415" t="s">
        <v>17</v>
      </c>
      <c r="S16" s="416">
        <v>-494.33058638599721</v>
      </c>
      <c r="T16" s="416">
        <v>-314.58681772756609</v>
      </c>
      <c r="U16" s="416">
        <v>200.46235762311693</v>
      </c>
      <c r="V16" s="416">
        <v>840.76360135394509</v>
      </c>
      <c r="W16" s="416">
        <v>2367.9411058329079</v>
      </c>
      <c r="X16" s="416">
        <v>2.969052988507201</v>
      </c>
      <c r="Y16" s="416">
        <f t="shared" si="0"/>
        <v>1971.8100875589862</v>
      </c>
      <c r="Z16" s="416"/>
      <c r="AA16" s="385"/>
      <c r="AB16" s="416">
        <v>1979.0367999942096</v>
      </c>
      <c r="AC16" s="416">
        <v>1980.5746595809801</v>
      </c>
      <c r="AD16" s="416">
        <v>1977.1256410431474</v>
      </c>
      <c r="AE16" s="416">
        <v>1971.8100875589862</v>
      </c>
      <c r="AF16" s="416">
        <v>10.063742033795506</v>
      </c>
      <c r="AG16" s="416"/>
      <c r="AH16" s="416"/>
      <c r="AI16" s="416"/>
      <c r="AJ16" s="385"/>
      <c r="AK16" s="416">
        <f t="shared" si="1"/>
        <v>1979.0367999942096</v>
      </c>
      <c r="AL16" s="416">
        <f t="shared" si="2"/>
        <v>1.5378595867705371</v>
      </c>
      <c r="AM16" s="416">
        <f t="shared" si="3"/>
        <v>-3.4490185378326714</v>
      </c>
      <c r="AN16" s="416">
        <f t="shared" si="4"/>
        <v>-5.315553484161228</v>
      </c>
      <c r="AO16" s="416">
        <f t="shared" si="5"/>
        <v>10.063742033795506</v>
      </c>
      <c r="AP16" s="416"/>
      <c r="AQ16" s="416"/>
      <c r="AR16" s="416"/>
    </row>
    <row r="17" spans="2:44" x14ac:dyDescent="0.25">
      <c r="B17" s="72" t="s">
        <v>334</v>
      </c>
      <c r="C17" s="277" t="s">
        <v>17</v>
      </c>
      <c r="D17" s="277" t="s">
        <v>17</v>
      </c>
      <c r="E17" s="277" t="s">
        <v>17</v>
      </c>
      <c r="F17" s="277" t="s">
        <v>17</v>
      </c>
      <c r="G17" s="277" t="s">
        <v>17</v>
      </c>
      <c r="H17" s="277" t="s">
        <v>17</v>
      </c>
      <c r="I17" s="277" t="s">
        <v>17</v>
      </c>
      <c r="J17" s="277">
        <f>-('Balance Sheet'!J70-'Balance Sheet'!I70)</f>
        <v>-2228.9208859999999</v>
      </c>
      <c r="K17" s="277">
        <f>-('Balance Sheet'!K70-'Balance Sheet'!J70)</f>
        <v>-111.9167809999999</v>
      </c>
      <c r="L17" s="277">
        <f>-('Balance Sheet'!L70-'Balance Sheet'!K70)</f>
        <v>-2213.7501359999987</v>
      </c>
      <c r="M17" s="277">
        <f>-('Balance Sheet'!M70-'Balance Sheet'!L70)</f>
        <v>-633.02830899999935</v>
      </c>
      <c r="N17" s="277">
        <f>-('Balance Sheet'!N70-'Balance Sheet'!M70)</f>
        <v>-1353.4107610000028</v>
      </c>
      <c r="O17" s="277">
        <f>-('Balance Sheet'!O70-'Balance Sheet'!N70)</f>
        <v>1149.9927280000011</v>
      </c>
      <c r="P17" s="277">
        <f>-('Balance Sheet'!P70-'Balance Sheet'!O70)</f>
        <v>40.914701353216515</v>
      </c>
      <c r="Q17" s="277">
        <f>-('Balance Sheet'!Q70-'Balance Sheet'!P70)</f>
        <v>-338.63279435321601</v>
      </c>
      <c r="R17" s="277">
        <f>-('Balance Sheet'!R70-'Balance Sheet'!Q70)</f>
        <v>1458</v>
      </c>
      <c r="S17" s="277">
        <v>2030.9811276026717</v>
      </c>
      <c r="T17" s="269">
        <v>422.49096647884119</v>
      </c>
      <c r="U17" s="269">
        <v>-346.90367017414866</v>
      </c>
      <c r="V17" s="269">
        <v>1584.1656492267</v>
      </c>
      <c r="W17" s="269">
        <v>677.57326282060012</v>
      </c>
      <c r="X17" s="269">
        <v>-1657.4893711563634</v>
      </c>
      <c r="Y17" s="269">
        <f t="shared" si="0"/>
        <v>-2096.7898777552155</v>
      </c>
      <c r="Z17" s="269"/>
      <c r="AB17" s="269">
        <v>115.60793261435968</v>
      </c>
      <c r="AC17" s="269">
        <v>-2096.2603509776236</v>
      </c>
      <c r="AD17" s="269">
        <v>-3697.1342711892744</v>
      </c>
      <c r="AE17" s="269">
        <v>-2096.7898777552155</v>
      </c>
      <c r="AF17" s="269">
        <v>-597.51151926407499</v>
      </c>
      <c r="AG17" s="269"/>
      <c r="AH17" s="269"/>
      <c r="AI17" s="269"/>
      <c r="AK17" s="269">
        <f t="shared" si="1"/>
        <v>115.60793261435968</v>
      </c>
      <c r="AL17" s="269">
        <f t="shared" si="2"/>
        <v>-2211.8682835919831</v>
      </c>
      <c r="AM17" s="269">
        <f t="shared" si="3"/>
        <v>-1600.8739202116508</v>
      </c>
      <c r="AN17" s="269">
        <f t="shared" si="4"/>
        <v>1600.3443934340589</v>
      </c>
      <c r="AO17" s="269">
        <f t="shared" si="5"/>
        <v>-597.51151926407499</v>
      </c>
      <c r="AP17" s="269"/>
      <c r="AQ17" s="269"/>
      <c r="AR17" s="269"/>
    </row>
    <row r="18" spans="2:44" x14ac:dyDescent="0.25">
      <c r="B18" s="10"/>
      <c r="C18" s="253"/>
      <c r="D18" s="253"/>
      <c r="E18" s="253"/>
      <c r="F18" s="253"/>
      <c r="G18" s="253"/>
      <c r="H18" s="253"/>
      <c r="I18" s="253"/>
      <c r="J18" s="253"/>
      <c r="K18" s="253"/>
      <c r="L18" s="253"/>
      <c r="M18" s="253"/>
      <c r="N18" s="253"/>
      <c r="O18" s="253"/>
      <c r="P18" s="253"/>
      <c r="Q18" s="253"/>
      <c r="R18" s="253"/>
      <c r="S18" s="253"/>
      <c r="T18" s="253"/>
      <c r="U18" s="253"/>
      <c r="V18" s="253"/>
    </row>
    <row r="19" spans="2:44" x14ac:dyDescent="0.25">
      <c r="B19" s="165" t="s">
        <v>413</v>
      </c>
      <c r="C19" s="228">
        <v>2001</v>
      </c>
      <c r="D19" s="228">
        <v>2002</v>
      </c>
      <c r="E19" s="228">
        <v>2003</v>
      </c>
      <c r="F19" s="228">
        <v>2004</v>
      </c>
      <c r="G19" s="228">
        <v>2005</v>
      </c>
      <c r="H19" s="228">
        <v>2006</v>
      </c>
      <c r="I19" s="228">
        <v>2007</v>
      </c>
      <c r="J19" s="228">
        <v>2008</v>
      </c>
      <c r="K19" s="228">
        <v>2009</v>
      </c>
      <c r="L19" s="228">
        <v>2010</v>
      </c>
      <c r="M19" s="228">
        <v>2011</v>
      </c>
      <c r="N19" s="228">
        <v>2012</v>
      </c>
      <c r="O19" s="228">
        <v>2013</v>
      </c>
      <c r="P19" s="228">
        <v>2014</v>
      </c>
      <c r="Q19" s="228">
        <v>2015</v>
      </c>
      <c r="R19" s="228">
        <v>2016</v>
      </c>
      <c r="S19" s="228">
        <v>2017</v>
      </c>
      <c r="T19" s="228">
        <v>2018</v>
      </c>
      <c r="U19" s="228">
        <v>2019</v>
      </c>
      <c r="V19" s="228">
        <v>2020</v>
      </c>
      <c r="W19" s="228">
        <v>2021</v>
      </c>
      <c r="X19" s="228">
        <v>2022</v>
      </c>
      <c r="Y19" s="229">
        <v>2023</v>
      </c>
      <c r="Z19" s="230">
        <v>2024</v>
      </c>
      <c r="AB19" s="231" t="s">
        <v>291</v>
      </c>
      <c r="AC19" s="231" t="s">
        <v>292</v>
      </c>
      <c r="AD19" s="231" t="s">
        <v>293</v>
      </c>
      <c r="AE19" s="231">
        <v>2023</v>
      </c>
      <c r="AF19" s="232" t="s">
        <v>318</v>
      </c>
      <c r="AG19" s="232" t="s">
        <v>319</v>
      </c>
      <c r="AH19" s="232" t="s">
        <v>320</v>
      </c>
      <c r="AI19" s="232">
        <v>2024</v>
      </c>
      <c r="AK19" s="231" t="s">
        <v>291</v>
      </c>
      <c r="AL19" s="231" t="s">
        <v>296</v>
      </c>
      <c r="AM19" s="231" t="s">
        <v>294</v>
      </c>
      <c r="AN19" s="231" t="s">
        <v>295</v>
      </c>
      <c r="AO19" s="232" t="s">
        <v>318</v>
      </c>
      <c r="AP19" s="232" t="s">
        <v>321</v>
      </c>
      <c r="AQ19" s="232" t="s">
        <v>322</v>
      </c>
      <c r="AR19" s="232" t="s">
        <v>323</v>
      </c>
    </row>
    <row r="20" spans="2:44" x14ac:dyDescent="0.25">
      <c r="B20" s="2" t="s">
        <v>414</v>
      </c>
      <c r="C20" s="276">
        <v>0</v>
      </c>
      <c r="D20" s="276">
        <v>0</v>
      </c>
      <c r="E20" s="276">
        <v>0</v>
      </c>
      <c r="F20" s="276">
        <v>0</v>
      </c>
      <c r="G20" s="276">
        <v>0</v>
      </c>
      <c r="H20" s="276">
        <v>0</v>
      </c>
      <c r="I20" s="276">
        <v>0</v>
      </c>
      <c r="J20" s="260">
        <v>2838.5679003598548</v>
      </c>
      <c r="K20" s="260">
        <v>2556.2719248207072</v>
      </c>
      <c r="L20" s="260">
        <v>1972.9430876344218</v>
      </c>
      <c r="M20" s="260">
        <v>1408.2248886428215</v>
      </c>
      <c r="N20" s="260">
        <v>1318.6498632272883</v>
      </c>
      <c r="O20" s="260">
        <v>1277.222878656105</v>
      </c>
      <c r="P20" s="260">
        <v>1248.5960764525003</v>
      </c>
      <c r="Q20" s="260">
        <v>1184</v>
      </c>
      <c r="R20" s="260">
        <v>1267</v>
      </c>
      <c r="S20" s="260">
        <v>1017</v>
      </c>
      <c r="T20" s="260">
        <v>1394</v>
      </c>
      <c r="U20" s="260">
        <v>1724</v>
      </c>
      <c r="V20" s="260">
        <v>2401</v>
      </c>
      <c r="W20" s="260">
        <v>2923.0970140941999</v>
      </c>
      <c r="X20" s="260">
        <v>3903</v>
      </c>
      <c r="Y20" s="260">
        <f t="shared" ref="Y20:Y26" si="7">AE20</f>
        <v>5202.5939593110688</v>
      </c>
      <c r="Z20" s="260"/>
      <c r="AB20" s="517">
        <v>1039</v>
      </c>
      <c r="AC20" s="260">
        <v>2424.1876082454773</v>
      </c>
      <c r="AD20" s="260">
        <v>3626.3566984891777</v>
      </c>
      <c r="AE20" s="260">
        <v>5202.5939593110688</v>
      </c>
      <c r="AF20" s="260">
        <v>981.49522155007696</v>
      </c>
      <c r="AG20" s="260"/>
      <c r="AH20" s="260"/>
      <c r="AI20" s="260"/>
      <c r="AK20" s="260">
        <f t="shared" ref="AK20:AK26" si="8">AB20</f>
        <v>1039</v>
      </c>
      <c r="AL20" s="260">
        <f t="shared" ref="AL20:AN26" si="9">AC20-AB20</f>
        <v>1385.1876082454773</v>
      </c>
      <c r="AM20" s="260">
        <f t="shared" si="9"/>
        <v>1202.1690902437003</v>
      </c>
      <c r="AN20" s="260">
        <f t="shared" si="9"/>
        <v>1576.2372608218911</v>
      </c>
      <c r="AO20" s="260">
        <f t="shared" ref="AO20:AO26" si="10">AF20</f>
        <v>981.49522155007696</v>
      </c>
      <c r="AP20" s="260"/>
      <c r="AQ20" s="260"/>
      <c r="AR20" s="260"/>
    </row>
    <row r="21" spans="2:44" x14ac:dyDescent="0.25">
      <c r="B21" s="3" t="s">
        <v>298</v>
      </c>
      <c r="C21" s="253" t="s">
        <v>17</v>
      </c>
      <c r="D21" s="253" t="s">
        <v>17</v>
      </c>
      <c r="E21" s="253" t="s">
        <v>17</v>
      </c>
      <c r="F21" s="253" t="s">
        <v>17</v>
      </c>
      <c r="G21" s="253" t="s">
        <v>17</v>
      </c>
      <c r="H21" s="253" t="s">
        <v>17</v>
      </c>
      <c r="I21" s="253" t="s">
        <v>17</v>
      </c>
      <c r="J21" s="253" t="s">
        <v>17</v>
      </c>
      <c r="K21" s="253" t="s">
        <v>17</v>
      </c>
      <c r="L21" s="253" t="s">
        <v>17</v>
      </c>
      <c r="M21" s="253" t="s">
        <v>17</v>
      </c>
      <c r="N21" s="253" t="s">
        <v>17</v>
      </c>
      <c r="O21" s="253" t="s">
        <v>17</v>
      </c>
      <c r="P21" s="253" t="s">
        <v>17</v>
      </c>
      <c r="Q21" s="253" t="s">
        <v>17</v>
      </c>
      <c r="R21" s="253" t="s">
        <v>17</v>
      </c>
      <c r="S21" s="268" t="s">
        <v>17</v>
      </c>
      <c r="T21" s="253">
        <f>T20-T22</f>
        <v>1320.6105401188063</v>
      </c>
      <c r="U21" s="253">
        <f>U20-U22</f>
        <v>1139.0565681164353</v>
      </c>
      <c r="V21" s="253">
        <v>2111.6068095633914</v>
      </c>
      <c r="W21" s="253">
        <v>2607.4264206236321</v>
      </c>
      <c r="X21" s="253">
        <v>3563.133195680397</v>
      </c>
      <c r="Y21" s="253">
        <f t="shared" si="7"/>
        <v>4687.8276423426223</v>
      </c>
      <c r="Z21" s="253"/>
      <c r="AB21" s="253">
        <v>942.9892109774969</v>
      </c>
      <c r="AC21" s="253">
        <v>2186.4877541247806</v>
      </c>
      <c r="AD21" s="253">
        <v>3278.7216195660444</v>
      </c>
      <c r="AE21" s="253">
        <v>4687.8276423426223</v>
      </c>
      <c r="AF21" s="253">
        <v>883.65265776060744</v>
      </c>
      <c r="AG21" s="253"/>
      <c r="AH21" s="253"/>
      <c r="AI21" s="253"/>
      <c r="AK21" s="253">
        <f t="shared" si="8"/>
        <v>942.9892109774969</v>
      </c>
      <c r="AL21" s="253">
        <f t="shared" si="9"/>
        <v>1243.4985431472837</v>
      </c>
      <c r="AM21" s="253">
        <f t="shared" si="9"/>
        <v>1092.2338654412638</v>
      </c>
      <c r="AN21" s="253">
        <f t="shared" si="9"/>
        <v>1409.1060227765779</v>
      </c>
      <c r="AO21" s="253">
        <f t="shared" si="10"/>
        <v>883.65265776060744</v>
      </c>
      <c r="AP21" s="253"/>
      <c r="AQ21" s="253"/>
      <c r="AR21" s="253"/>
    </row>
    <row r="22" spans="2:44" x14ac:dyDescent="0.25">
      <c r="B22" s="3" t="s">
        <v>116</v>
      </c>
      <c r="C22" s="253" t="s">
        <v>17</v>
      </c>
      <c r="D22" s="253" t="s">
        <v>17</v>
      </c>
      <c r="E22" s="253" t="s">
        <v>17</v>
      </c>
      <c r="F22" s="253" t="s">
        <v>17</v>
      </c>
      <c r="G22" s="253" t="s">
        <v>17</v>
      </c>
      <c r="H22" s="253" t="s">
        <v>17</v>
      </c>
      <c r="I22" s="253" t="s">
        <v>17</v>
      </c>
      <c r="J22" s="253" t="s">
        <v>17</v>
      </c>
      <c r="K22" s="253" t="s">
        <v>17</v>
      </c>
      <c r="L22" s="253" t="s">
        <v>17</v>
      </c>
      <c r="M22" s="253" t="s">
        <v>17</v>
      </c>
      <c r="N22" s="253" t="s">
        <v>17</v>
      </c>
      <c r="O22" s="253" t="s">
        <v>17</v>
      </c>
      <c r="P22" s="253" t="s">
        <v>17</v>
      </c>
      <c r="Q22" s="253" t="s">
        <v>17</v>
      </c>
      <c r="R22" s="253" t="s">
        <v>17</v>
      </c>
      <c r="S22" s="268" t="s">
        <v>17</v>
      </c>
      <c r="T22" s="253">
        <v>73.389459881193758</v>
      </c>
      <c r="U22" s="253">
        <v>584.94343188356481</v>
      </c>
      <c r="V22" s="253">
        <v>289.39319043660856</v>
      </c>
      <c r="W22" s="253">
        <v>315.67059347056784</v>
      </c>
      <c r="X22" s="253">
        <v>339.89544548577265</v>
      </c>
      <c r="Y22" s="253">
        <f t="shared" si="7"/>
        <v>514.7663169684464</v>
      </c>
      <c r="Z22" s="253"/>
      <c r="AB22" s="518">
        <v>97</v>
      </c>
      <c r="AC22" s="253">
        <v>237.6998541206967</v>
      </c>
      <c r="AD22" s="253">
        <v>347.63507892313339</v>
      </c>
      <c r="AE22" s="253">
        <v>514.7663169684464</v>
      </c>
      <c r="AF22" s="253">
        <v>97.842563789469494</v>
      </c>
      <c r="AG22" s="253"/>
      <c r="AH22" s="253"/>
      <c r="AI22" s="253"/>
      <c r="AK22" s="253">
        <f t="shared" si="8"/>
        <v>97</v>
      </c>
      <c r="AL22" s="253">
        <f t="shared" si="9"/>
        <v>140.6998541206967</v>
      </c>
      <c r="AM22" s="253">
        <f t="shared" si="9"/>
        <v>109.93522480243669</v>
      </c>
      <c r="AN22" s="253">
        <f t="shared" si="9"/>
        <v>167.13123804531301</v>
      </c>
      <c r="AO22" s="253">
        <f t="shared" si="10"/>
        <v>97.842563789469494</v>
      </c>
      <c r="AP22" s="253"/>
      <c r="AQ22" s="253"/>
      <c r="AR22" s="253"/>
    </row>
    <row r="23" spans="2:44" x14ac:dyDescent="0.25">
      <c r="B23" s="2" t="s">
        <v>415</v>
      </c>
      <c r="C23" s="276">
        <v>0</v>
      </c>
      <c r="D23" s="276">
        <v>0</v>
      </c>
      <c r="E23" s="276">
        <v>0</v>
      </c>
      <c r="F23" s="276">
        <v>0</v>
      </c>
      <c r="G23" s="276">
        <v>0</v>
      </c>
      <c r="H23" s="276">
        <v>0</v>
      </c>
      <c r="I23" s="276">
        <v>0</v>
      </c>
      <c r="J23" s="260">
        <v>779.61875058468934</v>
      </c>
      <c r="K23" s="260">
        <v>678.46766284025091</v>
      </c>
      <c r="L23" s="260">
        <v>694.39768017097515</v>
      </c>
      <c r="M23" s="260">
        <v>752.39866069653613</v>
      </c>
      <c r="N23" s="260">
        <v>692.00112735814605</v>
      </c>
      <c r="O23" s="260">
        <v>656.47629539123625</v>
      </c>
      <c r="P23" s="260">
        <v>623.05136529540016</v>
      </c>
      <c r="Q23" s="260">
        <v>604</v>
      </c>
      <c r="R23" s="260">
        <v>697</v>
      </c>
      <c r="S23" s="260">
        <v>708</v>
      </c>
      <c r="T23" s="260">
        <v>637</v>
      </c>
      <c r="U23" s="260">
        <v>535</v>
      </c>
      <c r="V23" s="260">
        <v>508</v>
      </c>
      <c r="W23" s="260">
        <v>569.78156125116811</v>
      </c>
      <c r="X23" s="260">
        <v>656</v>
      </c>
      <c r="Y23" s="260">
        <f t="shared" si="7"/>
        <v>645.34141559143416</v>
      </c>
      <c r="Z23" s="260"/>
      <c r="AB23" s="519">
        <v>141</v>
      </c>
      <c r="AC23" s="260">
        <v>270.72735115322803</v>
      </c>
      <c r="AD23" s="260">
        <v>448.37763445349714</v>
      </c>
      <c r="AE23" s="260">
        <v>645.34141559143416</v>
      </c>
      <c r="AF23" s="260">
        <v>135.56430481896226</v>
      </c>
      <c r="AG23" s="260"/>
      <c r="AH23" s="260"/>
      <c r="AI23" s="260"/>
      <c r="AK23" s="260">
        <f t="shared" si="8"/>
        <v>141</v>
      </c>
      <c r="AL23" s="260">
        <f t="shared" si="9"/>
        <v>129.72735115322803</v>
      </c>
      <c r="AM23" s="260">
        <f t="shared" si="9"/>
        <v>177.65028330026911</v>
      </c>
      <c r="AN23" s="260">
        <f t="shared" si="9"/>
        <v>196.96378113793702</v>
      </c>
      <c r="AO23" s="260">
        <f t="shared" si="10"/>
        <v>135.56430481896226</v>
      </c>
      <c r="AP23" s="260"/>
      <c r="AQ23" s="260"/>
      <c r="AR23" s="260"/>
    </row>
    <row r="24" spans="2:44" x14ac:dyDescent="0.25">
      <c r="B24" s="3" t="s">
        <v>298</v>
      </c>
      <c r="C24" s="253" t="s">
        <v>17</v>
      </c>
      <c r="D24" s="253" t="s">
        <v>17</v>
      </c>
      <c r="E24" s="253" t="s">
        <v>17</v>
      </c>
      <c r="F24" s="253" t="s">
        <v>17</v>
      </c>
      <c r="G24" s="253" t="s">
        <v>17</v>
      </c>
      <c r="H24" s="253" t="s">
        <v>17</v>
      </c>
      <c r="I24" s="253" t="s">
        <v>17</v>
      </c>
      <c r="J24" s="253" t="s">
        <v>17</v>
      </c>
      <c r="K24" s="253" t="s">
        <v>17</v>
      </c>
      <c r="L24" s="253" t="s">
        <v>17</v>
      </c>
      <c r="M24" s="253" t="s">
        <v>17</v>
      </c>
      <c r="N24" s="253" t="s">
        <v>17</v>
      </c>
      <c r="O24" s="253" t="s">
        <v>17</v>
      </c>
      <c r="P24" s="253" t="s">
        <v>17</v>
      </c>
      <c r="Q24" s="253" t="s">
        <v>17</v>
      </c>
      <c r="R24" s="253" t="s">
        <v>17</v>
      </c>
      <c r="S24" s="268" t="s">
        <v>17</v>
      </c>
      <c r="T24" s="253">
        <f>T23-T25</f>
        <v>209.11527351388759</v>
      </c>
      <c r="U24" s="253">
        <f>U23-U25</f>
        <v>209.18958092881854</v>
      </c>
      <c r="V24" s="253">
        <v>174</v>
      </c>
      <c r="W24" s="253">
        <v>136.13781781472039</v>
      </c>
      <c r="X24" s="253">
        <v>156.74463037341204</v>
      </c>
      <c r="Y24" s="253">
        <f t="shared" si="7"/>
        <v>183.47609054327228</v>
      </c>
      <c r="Z24" s="253"/>
      <c r="AB24" s="518">
        <v>20</v>
      </c>
      <c r="AC24" s="253">
        <v>55.429588735234347</v>
      </c>
      <c r="AD24" s="253">
        <v>106.70082371225205</v>
      </c>
      <c r="AE24" s="253">
        <v>183.47609054327228</v>
      </c>
      <c r="AF24" s="253">
        <v>23.139386863392655</v>
      </c>
      <c r="AG24" s="253"/>
      <c r="AH24" s="253"/>
      <c r="AI24" s="253"/>
      <c r="AK24" s="253">
        <f t="shared" si="8"/>
        <v>20</v>
      </c>
      <c r="AL24" s="253">
        <f t="shared" si="9"/>
        <v>35.429588735234347</v>
      </c>
      <c r="AM24" s="253">
        <f t="shared" si="9"/>
        <v>51.271234977017698</v>
      </c>
      <c r="AN24" s="253">
        <f t="shared" si="9"/>
        <v>76.775266831020232</v>
      </c>
      <c r="AO24" s="253">
        <f t="shared" si="10"/>
        <v>23.139386863392655</v>
      </c>
      <c r="AP24" s="253"/>
      <c r="AQ24" s="253"/>
      <c r="AR24" s="253"/>
    </row>
    <row r="25" spans="2:44" x14ac:dyDescent="0.25">
      <c r="B25" s="3" t="s">
        <v>116</v>
      </c>
      <c r="C25" s="253" t="s">
        <v>17</v>
      </c>
      <c r="D25" s="253" t="s">
        <v>17</v>
      </c>
      <c r="E25" s="253" t="s">
        <v>17</v>
      </c>
      <c r="F25" s="253" t="s">
        <v>17</v>
      </c>
      <c r="G25" s="253" t="s">
        <v>17</v>
      </c>
      <c r="H25" s="253" t="s">
        <v>17</v>
      </c>
      <c r="I25" s="253" t="s">
        <v>17</v>
      </c>
      <c r="J25" s="253" t="s">
        <v>17</v>
      </c>
      <c r="K25" s="253" t="s">
        <v>17</v>
      </c>
      <c r="L25" s="253" t="s">
        <v>17</v>
      </c>
      <c r="M25" s="253" t="s">
        <v>17</v>
      </c>
      <c r="N25" s="253" t="s">
        <v>17</v>
      </c>
      <c r="O25" s="253" t="s">
        <v>17</v>
      </c>
      <c r="P25" s="253" t="s">
        <v>17</v>
      </c>
      <c r="Q25" s="253" t="s">
        <v>17</v>
      </c>
      <c r="R25" s="253" t="s">
        <v>17</v>
      </c>
      <c r="S25" s="268" t="s">
        <v>17</v>
      </c>
      <c r="T25" s="253">
        <v>427.88472648611241</v>
      </c>
      <c r="U25" s="253">
        <v>325.81041907118146</v>
      </c>
      <c r="V25" s="253">
        <v>334</v>
      </c>
      <c r="W25" s="253">
        <v>433.64374343644772</v>
      </c>
      <c r="X25" s="253">
        <v>497.99337046017843</v>
      </c>
      <c r="Y25" s="253">
        <f t="shared" si="7"/>
        <v>461.86532504816188</v>
      </c>
      <c r="Z25" s="253"/>
      <c r="AB25" s="518">
        <v>120</v>
      </c>
      <c r="AC25" s="253">
        <v>215.29776241799368</v>
      </c>
      <c r="AD25" s="253">
        <v>341.67681074124511</v>
      </c>
      <c r="AE25" s="253">
        <v>461.86532504816188</v>
      </c>
      <c r="AF25" s="253">
        <v>112.4249179555696</v>
      </c>
      <c r="AG25" s="253"/>
      <c r="AH25" s="253"/>
      <c r="AI25" s="253"/>
      <c r="AK25" s="253">
        <f t="shared" si="8"/>
        <v>120</v>
      </c>
      <c r="AL25" s="253">
        <f t="shared" si="9"/>
        <v>95.297762417993681</v>
      </c>
      <c r="AM25" s="253">
        <f t="shared" si="9"/>
        <v>126.37904832325142</v>
      </c>
      <c r="AN25" s="253">
        <f t="shared" si="9"/>
        <v>120.18851430691677</v>
      </c>
      <c r="AO25" s="253">
        <f t="shared" si="10"/>
        <v>112.4249179555696</v>
      </c>
      <c r="AP25" s="253"/>
      <c r="AQ25" s="253"/>
      <c r="AR25" s="253"/>
    </row>
    <row r="26" spans="2:44" x14ac:dyDescent="0.25">
      <c r="B26" s="75" t="s">
        <v>416</v>
      </c>
      <c r="C26" s="277" t="s">
        <v>17</v>
      </c>
      <c r="D26" s="277" t="s">
        <v>17</v>
      </c>
      <c r="E26" s="277" t="s">
        <v>17</v>
      </c>
      <c r="F26" s="277" t="s">
        <v>17</v>
      </c>
      <c r="G26" s="277" t="s">
        <v>17</v>
      </c>
      <c r="H26" s="277" t="s">
        <v>17</v>
      </c>
      <c r="I26" s="277" t="s">
        <v>17</v>
      </c>
      <c r="J26" s="269">
        <v>3618</v>
      </c>
      <c r="K26" s="269">
        <v>3235</v>
      </c>
      <c r="L26" s="269">
        <v>2667</v>
      </c>
      <c r="M26" s="269">
        <v>2161</v>
      </c>
      <c r="N26" s="269">
        <v>2011</v>
      </c>
      <c r="O26" s="269">
        <v>1934</v>
      </c>
      <c r="P26" s="269">
        <v>1871.6474673378293</v>
      </c>
      <c r="Q26" s="269">
        <f>Q23+Q20</f>
        <v>1788</v>
      </c>
      <c r="R26" s="269">
        <f>R23+R20</f>
        <v>1964</v>
      </c>
      <c r="S26" s="269">
        <f>S23+S20</f>
        <v>1725</v>
      </c>
      <c r="T26" s="269">
        <f>T23+T20</f>
        <v>2031</v>
      </c>
      <c r="U26" s="269">
        <f>U23+U20</f>
        <v>2259</v>
      </c>
      <c r="V26" s="269">
        <v>2909</v>
      </c>
      <c r="W26" s="269">
        <v>3492.8785753453676</v>
      </c>
      <c r="X26" s="269">
        <v>4558.2869751866892</v>
      </c>
      <c r="Y26" s="269">
        <f t="shared" si="7"/>
        <v>5847.9353749025022</v>
      </c>
      <c r="Z26" s="269"/>
      <c r="AB26" s="520">
        <v>1180</v>
      </c>
      <c r="AC26" s="468">
        <v>2694.9149593987049</v>
      </c>
      <c r="AD26" s="468">
        <v>4074.7343329426744</v>
      </c>
      <c r="AE26" s="468">
        <v>5847.9353749025022</v>
      </c>
      <c r="AF26" s="468">
        <v>1117.0595263690395</v>
      </c>
      <c r="AG26" s="468"/>
      <c r="AH26" s="468"/>
      <c r="AI26" s="468"/>
      <c r="AK26" s="468">
        <f t="shared" si="8"/>
        <v>1180</v>
      </c>
      <c r="AL26" s="468">
        <f t="shared" si="9"/>
        <v>1514.9149593987049</v>
      </c>
      <c r="AM26" s="468">
        <f t="shared" si="9"/>
        <v>1379.8193735439695</v>
      </c>
      <c r="AN26" s="468">
        <f t="shared" si="9"/>
        <v>1773.2010419598278</v>
      </c>
      <c r="AO26" s="468">
        <f t="shared" si="10"/>
        <v>1117.0595263690395</v>
      </c>
      <c r="AP26" s="468"/>
      <c r="AQ26" s="468"/>
      <c r="AR26" s="468"/>
    </row>
    <row r="27" spans="2:44" x14ac:dyDescent="0.25">
      <c r="B27" s="11"/>
      <c r="C27" s="260"/>
      <c r="D27" s="260"/>
      <c r="E27" s="260"/>
      <c r="F27" s="260"/>
      <c r="G27" s="260"/>
      <c r="H27" s="260"/>
      <c r="I27" s="260"/>
      <c r="J27" s="260"/>
      <c r="K27" s="260"/>
      <c r="L27" s="260"/>
      <c r="M27" s="260"/>
      <c r="N27" s="260"/>
      <c r="O27" s="260"/>
      <c r="P27" s="260"/>
      <c r="Q27" s="260"/>
      <c r="R27" s="260"/>
      <c r="S27" s="260"/>
      <c r="T27" s="253"/>
      <c r="U27" s="253"/>
      <c r="V27" s="253"/>
    </row>
    <row r="28" spans="2:44" x14ac:dyDescent="0.25">
      <c r="B28" s="165" t="s">
        <v>417</v>
      </c>
      <c r="C28" s="228">
        <v>2001</v>
      </c>
      <c r="D28" s="228">
        <v>2002</v>
      </c>
      <c r="E28" s="228">
        <v>2003</v>
      </c>
      <c r="F28" s="228">
        <v>2004</v>
      </c>
      <c r="G28" s="228">
        <v>2005</v>
      </c>
      <c r="H28" s="228">
        <v>2006</v>
      </c>
      <c r="I28" s="228">
        <v>2007</v>
      </c>
      <c r="J28" s="228">
        <v>2008</v>
      </c>
      <c r="K28" s="228">
        <v>2009</v>
      </c>
      <c r="L28" s="228">
        <v>2010</v>
      </c>
      <c r="M28" s="228">
        <v>2011</v>
      </c>
      <c r="N28" s="228">
        <v>2012</v>
      </c>
      <c r="O28" s="228">
        <v>2013</v>
      </c>
      <c r="P28" s="228">
        <v>2014</v>
      </c>
      <c r="Q28" s="228">
        <v>2015</v>
      </c>
      <c r="R28" s="228">
        <v>2016</v>
      </c>
      <c r="S28" s="228">
        <v>2017</v>
      </c>
      <c r="T28" s="228">
        <v>2018</v>
      </c>
      <c r="U28" s="228">
        <v>2019</v>
      </c>
      <c r="V28" s="228">
        <v>2020</v>
      </c>
      <c r="W28" s="228">
        <v>2021</v>
      </c>
      <c r="X28" s="228">
        <v>2022</v>
      </c>
      <c r="Y28" s="229">
        <v>2023</v>
      </c>
      <c r="Z28" s="230">
        <v>2024</v>
      </c>
      <c r="AB28" s="231" t="s">
        <v>291</v>
      </c>
      <c r="AC28" s="231" t="s">
        <v>292</v>
      </c>
      <c r="AD28" s="231" t="s">
        <v>293</v>
      </c>
      <c r="AE28" s="231">
        <v>2023</v>
      </c>
      <c r="AF28" s="232" t="s">
        <v>318</v>
      </c>
      <c r="AG28" s="232" t="s">
        <v>319</v>
      </c>
      <c r="AH28" s="232" t="s">
        <v>320</v>
      </c>
      <c r="AI28" s="232">
        <v>2024</v>
      </c>
      <c r="AK28" s="231" t="s">
        <v>291</v>
      </c>
      <c r="AL28" s="231" t="s">
        <v>296</v>
      </c>
      <c r="AM28" s="231" t="s">
        <v>294</v>
      </c>
      <c r="AN28" s="231" t="s">
        <v>295</v>
      </c>
      <c r="AO28" s="232" t="s">
        <v>318</v>
      </c>
      <c r="AP28" s="232" t="s">
        <v>321</v>
      </c>
      <c r="AQ28" s="232" t="s">
        <v>322</v>
      </c>
      <c r="AR28" s="232" t="s">
        <v>323</v>
      </c>
    </row>
    <row r="29" spans="2:44" x14ac:dyDescent="0.25">
      <c r="B29" s="12" t="s">
        <v>418</v>
      </c>
      <c r="C29" s="268" t="s">
        <v>17</v>
      </c>
      <c r="D29" s="268" t="s">
        <v>17</v>
      </c>
      <c r="E29" s="268" t="s">
        <v>17</v>
      </c>
      <c r="F29" s="268" t="s">
        <v>17</v>
      </c>
      <c r="G29" s="268" t="s">
        <v>17</v>
      </c>
      <c r="H29" s="268" t="s">
        <v>17</v>
      </c>
      <c r="I29" s="268" t="s">
        <v>17</v>
      </c>
      <c r="J29" s="268" t="s">
        <v>17</v>
      </c>
      <c r="K29" s="268" t="s">
        <v>17</v>
      </c>
      <c r="L29" s="268" t="s">
        <v>17</v>
      </c>
      <c r="M29" s="268" t="s">
        <v>17</v>
      </c>
      <c r="N29" s="268" t="s">
        <v>17</v>
      </c>
      <c r="O29" s="268" t="s">
        <v>17</v>
      </c>
      <c r="P29" s="268" t="s">
        <v>17</v>
      </c>
      <c r="Q29" s="268" t="s">
        <v>17</v>
      </c>
      <c r="R29" s="268" t="s">
        <v>17</v>
      </c>
      <c r="S29" s="268" t="s">
        <v>17</v>
      </c>
      <c r="T29" s="253">
        <v>1394.3362991042932</v>
      </c>
      <c r="U29" s="253">
        <f>U20</f>
        <v>1724</v>
      </c>
      <c r="V29" s="253">
        <v>2401</v>
      </c>
      <c r="W29" s="253">
        <v>2923.0970140941999</v>
      </c>
      <c r="X29" s="253">
        <v>3903</v>
      </c>
      <c r="Y29" s="253">
        <f t="shared" ref="Y29:Y34" si="11">AE29</f>
        <v>5202.5939593110688</v>
      </c>
      <c r="Z29" s="253"/>
      <c r="AA29" s="253"/>
      <c r="AB29" s="521">
        <v>1039</v>
      </c>
      <c r="AC29" s="253">
        <v>2424.1876082454773</v>
      </c>
      <c r="AD29" s="253">
        <v>3626.3566984891777</v>
      </c>
      <c r="AE29" s="253">
        <v>5202.5939593110688</v>
      </c>
      <c r="AF29" s="253">
        <v>981.49522155007696</v>
      </c>
      <c r="AG29" s="253"/>
      <c r="AH29" s="253"/>
      <c r="AI29" s="253"/>
      <c r="AK29" s="253">
        <f t="shared" ref="AK29:AK35" si="12">AB29</f>
        <v>1039</v>
      </c>
      <c r="AL29" s="253">
        <f t="shared" ref="AL29:AN35" si="13">AC29-AB29</f>
        <v>1385.1876082454773</v>
      </c>
      <c r="AM29" s="253">
        <f t="shared" si="13"/>
        <v>1202.1690902437003</v>
      </c>
      <c r="AN29" s="253">
        <f t="shared" si="13"/>
        <v>1576.2372608218911</v>
      </c>
      <c r="AO29" s="253">
        <f t="shared" ref="AO29:AO35" si="14">AF29</f>
        <v>981.49522155007696</v>
      </c>
      <c r="AP29" s="253"/>
      <c r="AQ29" s="253"/>
      <c r="AR29" s="253"/>
    </row>
    <row r="30" spans="2:44" x14ac:dyDescent="0.25">
      <c r="B30" s="12" t="s">
        <v>419</v>
      </c>
      <c r="C30" s="268" t="s">
        <v>17</v>
      </c>
      <c r="D30" s="268" t="s">
        <v>17</v>
      </c>
      <c r="E30" s="268" t="s">
        <v>17</v>
      </c>
      <c r="F30" s="268" t="s">
        <v>17</v>
      </c>
      <c r="G30" s="268" t="s">
        <v>17</v>
      </c>
      <c r="H30" s="268" t="s">
        <v>17</v>
      </c>
      <c r="I30" s="268" t="s">
        <v>17</v>
      </c>
      <c r="J30" s="268" t="s">
        <v>17</v>
      </c>
      <c r="K30" s="268" t="s">
        <v>17</v>
      </c>
      <c r="L30" s="268" t="s">
        <v>17</v>
      </c>
      <c r="M30" s="268" t="s">
        <v>17</v>
      </c>
      <c r="N30" s="268" t="s">
        <v>17</v>
      </c>
      <c r="O30" s="268" t="s">
        <v>17</v>
      </c>
      <c r="P30" s="268" t="s">
        <v>17</v>
      </c>
      <c r="Q30" s="268" t="s">
        <v>17</v>
      </c>
      <c r="R30" s="268" t="s">
        <v>17</v>
      </c>
      <c r="S30" s="268" t="s">
        <v>17</v>
      </c>
      <c r="T30" s="253">
        <v>210.43511976407905</v>
      </c>
      <c r="U30" s="253">
        <v>360.64738528141231</v>
      </c>
      <c r="V30" s="253">
        <v>805.74755359991946</v>
      </c>
      <c r="W30" s="253">
        <v>414.326448138324</v>
      </c>
      <c r="X30" s="253">
        <v>2115.1481843369879</v>
      </c>
      <c r="Y30" s="253">
        <f t="shared" si="11"/>
        <v>288.29647898490083</v>
      </c>
      <c r="Z30" s="253"/>
      <c r="AA30" s="253"/>
      <c r="AB30" s="518">
        <v>37</v>
      </c>
      <c r="AC30" s="253">
        <v>174.58644584249998</v>
      </c>
      <c r="AD30" s="253">
        <v>225.98367920479996</v>
      </c>
      <c r="AE30" s="253">
        <v>288.29647898490083</v>
      </c>
      <c r="AF30" s="253">
        <v>29.49353570983704</v>
      </c>
      <c r="AG30" s="253"/>
      <c r="AH30" s="253"/>
      <c r="AI30" s="253"/>
      <c r="AK30" s="253">
        <f t="shared" si="12"/>
        <v>37</v>
      </c>
      <c r="AL30" s="253">
        <f t="shared" si="13"/>
        <v>137.58644584249998</v>
      </c>
      <c r="AM30" s="253">
        <f t="shared" si="13"/>
        <v>51.397233362299971</v>
      </c>
      <c r="AN30" s="253">
        <f t="shared" si="13"/>
        <v>62.312799780100875</v>
      </c>
      <c r="AO30" s="253">
        <f t="shared" si="14"/>
        <v>29.49353570983704</v>
      </c>
      <c r="AP30" s="253"/>
      <c r="AQ30" s="253"/>
      <c r="AR30" s="253"/>
    </row>
    <row r="31" spans="2:44" x14ac:dyDescent="0.25">
      <c r="B31" s="12" t="s">
        <v>420</v>
      </c>
      <c r="C31" s="268" t="s">
        <v>17</v>
      </c>
      <c r="D31" s="268" t="s">
        <v>17</v>
      </c>
      <c r="E31" s="268" t="s">
        <v>17</v>
      </c>
      <c r="F31" s="268" t="s">
        <v>17</v>
      </c>
      <c r="G31" s="268" t="s">
        <v>17</v>
      </c>
      <c r="H31" s="268" t="s">
        <v>17</v>
      </c>
      <c r="I31" s="268" t="s">
        <v>17</v>
      </c>
      <c r="J31" s="268" t="s">
        <v>17</v>
      </c>
      <c r="K31" s="268" t="s">
        <v>17</v>
      </c>
      <c r="L31" s="268" t="s">
        <v>17</v>
      </c>
      <c r="M31" s="268" t="s">
        <v>17</v>
      </c>
      <c r="N31" s="268" t="s">
        <v>17</v>
      </c>
      <c r="O31" s="268" t="s">
        <v>17</v>
      </c>
      <c r="P31" s="268" t="s">
        <v>17</v>
      </c>
      <c r="Q31" s="268" t="s">
        <v>17</v>
      </c>
      <c r="R31" s="253" t="s">
        <v>17</v>
      </c>
      <c r="S31" s="268" t="s">
        <v>17</v>
      </c>
      <c r="T31" s="253">
        <v>-744.55183918278976</v>
      </c>
      <c r="U31" s="253">
        <v>-974.17700000000002</v>
      </c>
      <c r="V31" s="253">
        <v>-1677.71163009</v>
      </c>
      <c r="W31" s="253">
        <v>-1356.4756887581</v>
      </c>
      <c r="X31" s="253">
        <v>-1966.9556093704</v>
      </c>
      <c r="Y31" s="253">
        <f t="shared" si="11"/>
        <v>-2019.8376296744211</v>
      </c>
      <c r="Z31" s="253"/>
      <c r="AA31" s="253"/>
      <c r="AB31" s="253">
        <v>-181</v>
      </c>
      <c r="AC31" s="253">
        <v>-246.74397647310002</v>
      </c>
      <c r="AD31" s="253">
        <v>-1072.589895986262</v>
      </c>
      <c r="AE31" s="253">
        <v>-2019.8376296744211</v>
      </c>
      <c r="AF31" s="253">
        <v>-537.8010375428031</v>
      </c>
      <c r="AG31" s="253"/>
      <c r="AH31" s="253"/>
      <c r="AI31" s="253"/>
      <c r="AK31" s="253">
        <f t="shared" si="12"/>
        <v>-181</v>
      </c>
      <c r="AL31" s="253">
        <f t="shared" si="13"/>
        <v>-65.74397647310002</v>
      </c>
      <c r="AM31" s="253">
        <f t="shared" si="13"/>
        <v>-825.84591951316202</v>
      </c>
      <c r="AN31" s="253">
        <f t="shared" si="13"/>
        <v>-947.24773368815909</v>
      </c>
      <c r="AO31" s="253">
        <f t="shared" si="14"/>
        <v>-537.8010375428031</v>
      </c>
      <c r="AP31" s="253"/>
      <c r="AQ31" s="253"/>
      <c r="AR31" s="253"/>
    </row>
    <row r="32" spans="2:44" x14ac:dyDescent="0.25">
      <c r="B32" s="12" t="s">
        <v>421</v>
      </c>
      <c r="C32" s="268" t="s">
        <v>17</v>
      </c>
      <c r="D32" s="268" t="s">
        <v>17</v>
      </c>
      <c r="E32" s="268" t="s">
        <v>17</v>
      </c>
      <c r="F32" s="268" t="s">
        <v>17</v>
      </c>
      <c r="G32" s="268" t="s">
        <v>17</v>
      </c>
      <c r="H32" s="268" t="s">
        <v>17</v>
      </c>
      <c r="I32" s="268" t="s">
        <v>17</v>
      </c>
      <c r="J32" s="268" t="s">
        <v>17</v>
      </c>
      <c r="K32" s="268" t="s">
        <v>17</v>
      </c>
      <c r="L32" s="268" t="s">
        <v>17</v>
      </c>
      <c r="M32" s="268" t="s">
        <v>17</v>
      </c>
      <c r="N32" s="268" t="s">
        <v>17</v>
      </c>
      <c r="O32" s="268" t="s">
        <v>17</v>
      </c>
      <c r="P32" s="268" t="s">
        <v>17</v>
      </c>
      <c r="Q32" s="268" t="s">
        <v>17</v>
      </c>
      <c r="R32" s="253" t="s">
        <v>17</v>
      </c>
      <c r="S32" s="268" t="s">
        <v>17</v>
      </c>
      <c r="T32" s="253">
        <v>-398.9999959532222</v>
      </c>
      <c r="U32" s="253">
        <v>-186.40029440799941</v>
      </c>
      <c r="V32" s="253">
        <v>-304.549215855</v>
      </c>
      <c r="W32" s="253">
        <v>-681.88547889789993</v>
      </c>
      <c r="X32" s="253">
        <v>-51.541866969962008</v>
      </c>
      <c r="Y32" s="253">
        <f t="shared" si="11"/>
        <v>-501.40035073997694</v>
      </c>
      <c r="Z32" s="253"/>
      <c r="AA32" s="253"/>
      <c r="AB32" s="518">
        <v>0</v>
      </c>
      <c r="AC32" s="253">
        <v>-11.103544889980986</v>
      </c>
      <c r="AD32" s="253">
        <v>-55.332382449952988</v>
      </c>
      <c r="AE32" s="253">
        <v>-501.40035073997694</v>
      </c>
      <c r="AF32" s="253">
        <v>-24.508263299951984</v>
      </c>
      <c r="AG32" s="253"/>
      <c r="AH32" s="253"/>
      <c r="AI32" s="253"/>
      <c r="AK32" s="253">
        <f t="shared" si="12"/>
        <v>0</v>
      </c>
      <c r="AL32" s="253">
        <f t="shared" si="13"/>
        <v>-11.103544889980986</v>
      </c>
      <c r="AM32" s="253">
        <f t="shared" si="13"/>
        <v>-44.228837559972</v>
      </c>
      <c r="AN32" s="253">
        <f t="shared" si="13"/>
        <v>-446.06796829002394</v>
      </c>
      <c r="AO32" s="253">
        <f t="shared" si="14"/>
        <v>-24.508263299951984</v>
      </c>
      <c r="AP32" s="253"/>
      <c r="AQ32" s="253"/>
      <c r="AR32" s="253"/>
    </row>
    <row r="33" spans="2:44" x14ac:dyDescent="0.25">
      <c r="B33" s="12" t="s">
        <v>422</v>
      </c>
      <c r="C33" s="268" t="s">
        <v>17</v>
      </c>
      <c r="D33" s="268" t="s">
        <v>17</v>
      </c>
      <c r="E33" s="268" t="s">
        <v>17</v>
      </c>
      <c r="F33" s="268" t="s">
        <v>17</v>
      </c>
      <c r="G33" s="268" t="s">
        <v>17</v>
      </c>
      <c r="H33" s="268" t="s">
        <v>17</v>
      </c>
      <c r="I33" s="268" t="s">
        <v>17</v>
      </c>
      <c r="J33" s="268" t="s">
        <v>17</v>
      </c>
      <c r="K33" s="268" t="s">
        <v>17</v>
      </c>
      <c r="L33" s="268" t="s">
        <v>17</v>
      </c>
      <c r="M33" s="268" t="s">
        <v>17</v>
      </c>
      <c r="N33" s="268" t="s">
        <v>17</v>
      </c>
      <c r="O33" s="268" t="s">
        <v>17</v>
      </c>
      <c r="P33" s="268" t="s">
        <v>17</v>
      </c>
      <c r="Q33" s="268" t="s">
        <v>17</v>
      </c>
      <c r="R33" s="253" t="s">
        <v>17</v>
      </c>
      <c r="S33" s="268" t="s">
        <v>17</v>
      </c>
      <c r="T33" s="268" t="s">
        <v>17</v>
      </c>
      <c r="U33" s="268" t="s">
        <v>17</v>
      </c>
      <c r="V33" s="253">
        <v>-628.55122686130028</v>
      </c>
      <c r="W33" s="253">
        <v>-31.695558309999992</v>
      </c>
      <c r="X33" s="253">
        <v>-69.05418358910697</v>
      </c>
      <c r="Y33" s="253">
        <f t="shared" si="11"/>
        <v>820.02563938503749</v>
      </c>
      <c r="Z33" s="253"/>
      <c r="AA33" s="253"/>
      <c r="AB33" s="518">
        <v>17</v>
      </c>
      <c r="AC33" s="253">
        <v>-159.48484125493775</v>
      </c>
      <c r="AD33" s="253">
        <v>941.79622788173947</v>
      </c>
      <c r="AE33" s="253">
        <v>820.02563938503749</v>
      </c>
      <c r="AF33" s="253">
        <v>-39.440526835351392</v>
      </c>
      <c r="AG33" s="253"/>
      <c r="AH33" s="253"/>
      <c r="AI33" s="253"/>
      <c r="AK33" s="253">
        <f t="shared" si="12"/>
        <v>17</v>
      </c>
      <c r="AL33" s="253">
        <f t="shared" si="13"/>
        <v>-176.48484125493775</v>
      </c>
      <c r="AM33" s="253">
        <f t="shared" si="13"/>
        <v>1101.2810691366772</v>
      </c>
      <c r="AN33" s="253">
        <f t="shared" si="13"/>
        <v>-121.77058849670198</v>
      </c>
      <c r="AO33" s="253">
        <f t="shared" si="14"/>
        <v>-39.440526835351392</v>
      </c>
      <c r="AP33" s="253"/>
      <c r="AQ33" s="253"/>
      <c r="AR33" s="253"/>
    </row>
    <row r="34" spans="2:44" x14ac:dyDescent="0.25">
      <c r="B34" s="12" t="s">
        <v>173</v>
      </c>
      <c r="C34" s="268" t="s">
        <v>17</v>
      </c>
      <c r="D34" s="268" t="s">
        <v>17</v>
      </c>
      <c r="E34" s="268" t="s">
        <v>17</v>
      </c>
      <c r="F34" s="268" t="s">
        <v>17</v>
      </c>
      <c r="G34" s="268" t="s">
        <v>17</v>
      </c>
      <c r="H34" s="268" t="s">
        <v>17</v>
      </c>
      <c r="I34" s="268" t="s">
        <v>17</v>
      </c>
      <c r="J34" s="268" t="s">
        <v>17</v>
      </c>
      <c r="K34" s="268" t="s">
        <v>17</v>
      </c>
      <c r="L34" s="268" t="s">
        <v>17</v>
      </c>
      <c r="M34" s="268" t="s">
        <v>17</v>
      </c>
      <c r="N34" s="268" t="s">
        <v>17</v>
      </c>
      <c r="O34" s="268" t="s">
        <v>17</v>
      </c>
      <c r="P34" s="268" t="s">
        <v>17</v>
      </c>
      <c r="Q34" s="268" t="s">
        <v>17</v>
      </c>
      <c r="R34" s="253" t="s">
        <v>17</v>
      </c>
      <c r="S34" s="268" t="s">
        <v>17</v>
      </c>
      <c r="T34" s="253">
        <v>-111.00052386591992</v>
      </c>
      <c r="U34" s="253">
        <v>244.49003990796217</v>
      </c>
      <c r="V34" s="253">
        <v>325.73719677909992</v>
      </c>
      <c r="W34" s="253">
        <v>717.95883750350004</v>
      </c>
      <c r="X34" s="253">
        <v>-828.6</v>
      </c>
      <c r="Y34" s="253">
        <f t="shared" si="11"/>
        <v>184.62231026808831</v>
      </c>
      <c r="Z34" s="253"/>
      <c r="AA34" s="253"/>
      <c r="AB34" s="518">
        <v>248</v>
      </c>
      <c r="AC34" s="253">
        <v>-190.7818804652868</v>
      </c>
      <c r="AD34" s="253">
        <v>228.30837913270761</v>
      </c>
      <c r="AE34" s="253">
        <v>184.62231026808831</v>
      </c>
      <c r="AF34" s="253">
        <v>331.46596957190695</v>
      </c>
      <c r="AG34" s="253"/>
      <c r="AH34" s="253"/>
      <c r="AI34" s="253"/>
      <c r="AK34" s="253">
        <f t="shared" si="12"/>
        <v>248</v>
      </c>
      <c r="AL34" s="253">
        <f t="shared" si="13"/>
        <v>-438.7818804652868</v>
      </c>
      <c r="AM34" s="253">
        <f t="shared" si="13"/>
        <v>419.09025959799442</v>
      </c>
      <c r="AN34" s="253">
        <f t="shared" si="13"/>
        <v>-43.686068864619301</v>
      </c>
      <c r="AO34" s="253">
        <f t="shared" si="14"/>
        <v>331.46596957190695</v>
      </c>
      <c r="AP34" s="253"/>
      <c r="AQ34" s="253"/>
      <c r="AR34" s="253"/>
    </row>
    <row r="35" spans="2:44" x14ac:dyDescent="0.25">
      <c r="B35" s="76" t="s">
        <v>336</v>
      </c>
      <c r="C35" s="277" t="s">
        <v>17</v>
      </c>
      <c r="D35" s="277" t="s">
        <v>17</v>
      </c>
      <c r="E35" s="277" t="s">
        <v>17</v>
      </c>
      <c r="F35" s="277" t="s">
        <v>17</v>
      </c>
      <c r="G35" s="277" t="s">
        <v>17</v>
      </c>
      <c r="H35" s="277" t="s">
        <v>17</v>
      </c>
      <c r="I35" s="277" t="s">
        <v>17</v>
      </c>
      <c r="J35" s="277" t="s">
        <v>17</v>
      </c>
      <c r="K35" s="277" t="s">
        <v>17</v>
      </c>
      <c r="L35" s="277" t="s">
        <v>17</v>
      </c>
      <c r="M35" s="277" t="s">
        <v>17</v>
      </c>
      <c r="N35" s="277" t="s">
        <v>17</v>
      </c>
      <c r="O35" s="277" t="s">
        <v>17</v>
      </c>
      <c r="P35" s="277" t="s">
        <v>17</v>
      </c>
      <c r="Q35" s="277" t="s">
        <v>17</v>
      </c>
      <c r="R35" s="277" t="s">
        <v>17</v>
      </c>
      <c r="S35" s="277" t="s">
        <v>17</v>
      </c>
      <c r="T35" s="269">
        <v>350.21905986644026</v>
      </c>
      <c r="U35" s="269">
        <v>1168</v>
      </c>
      <c r="V35" s="269">
        <v>922</v>
      </c>
      <c r="W35" s="269">
        <v>1985.1216411610999</v>
      </c>
      <c r="X35" s="269">
        <v>3101.5428583135072</v>
      </c>
      <c r="Y35" s="269">
        <f>+AE35</f>
        <v>3974.3004075346976</v>
      </c>
      <c r="Z35" s="269"/>
      <c r="AA35" s="253"/>
      <c r="AB35" s="269">
        <v>1160.8498758766282</v>
      </c>
      <c r="AC35" s="269">
        <v>1990.6598110046718</v>
      </c>
      <c r="AD35" s="269">
        <v>3894.5227062722097</v>
      </c>
      <c r="AE35" s="269">
        <v>3974.3004075346976</v>
      </c>
      <c r="AF35" s="269">
        <v>740.70489915371445</v>
      </c>
      <c r="AG35" s="269"/>
      <c r="AH35" s="269"/>
      <c r="AI35" s="269"/>
      <c r="AK35" s="269">
        <f t="shared" si="12"/>
        <v>1160.8498758766282</v>
      </c>
      <c r="AL35" s="269">
        <f t="shared" si="13"/>
        <v>829.80993512804366</v>
      </c>
      <c r="AM35" s="269">
        <f t="shared" si="13"/>
        <v>1903.8628952675379</v>
      </c>
      <c r="AN35" s="269">
        <f t="shared" si="13"/>
        <v>79.777701262487881</v>
      </c>
      <c r="AO35" s="269">
        <f t="shared" si="14"/>
        <v>740.70489915371445</v>
      </c>
      <c r="AP35" s="269"/>
      <c r="AQ35" s="269"/>
      <c r="AR35" s="269"/>
    </row>
    <row r="36" spans="2:44" x14ac:dyDescent="0.25">
      <c r="C36" s="236"/>
      <c r="D36" s="236"/>
      <c r="E36" s="236"/>
      <c r="F36" s="236"/>
      <c r="G36" s="236"/>
      <c r="H36" s="236"/>
      <c r="I36" s="236"/>
      <c r="J36" s="236"/>
      <c r="K36" s="236"/>
      <c r="L36" s="236"/>
      <c r="M36" s="236"/>
      <c r="N36" s="236"/>
      <c r="O36" s="236"/>
      <c r="P36" s="236"/>
      <c r="Q36" s="236"/>
      <c r="R36" s="236"/>
      <c r="S36" s="236"/>
      <c r="T36" s="236"/>
    </row>
    <row r="37" spans="2:44" x14ac:dyDescent="0.25">
      <c r="B37" s="191"/>
      <c r="C37" s="227"/>
      <c r="D37" s="227"/>
      <c r="E37" s="227"/>
      <c r="F37" s="227"/>
      <c r="G37" s="227"/>
      <c r="H37" s="227"/>
      <c r="I37" s="227"/>
      <c r="J37" s="494"/>
      <c r="K37" s="494"/>
      <c r="L37" s="494"/>
      <c r="M37" s="494"/>
      <c r="N37" s="494"/>
      <c r="O37" s="494"/>
      <c r="P37" s="494"/>
      <c r="Q37" s="494"/>
      <c r="R37" s="494"/>
      <c r="S37" s="494"/>
      <c r="T37" s="495"/>
      <c r="U37" s="495"/>
      <c r="V37" s="495"/>
      <c r="W37" s="495"/>
      <c r="X37" s="495"/>
      <c r="Y37" s="495"/>
      <c r="Z37" s="495"/>
    </row>
    <row r="38" spans="2:44" x14ac:dyDescent="0.25">
      <c r="C38" s="260"/>
      <c r="D38" s="260"/>
      <c r="E38" s="260"/>
      <c r="F38" s="260"/>
      <c r="G38" s="260"/>
      <c r="H38" s="260"/>
      <c r="I38" s="260"/>
      <c r="J38" s="260"/>
      <c r="K38" s="260"/>
      <c r="L38" s="260"/>
      <c r="M38" s="260"/>
      <c r="N38" s="260"/>
      <c r="O38" s="260"/>
      <c r="P38" s="260"/>
      <c r="Q38" s="260"/>
      <c r="R38" s="260"/>
      <c r="S38" s="260"/>
      <c r="T38" s="260"/>
    </row>
    <row r="39" spans="2:44" x14ac:dyDescent="0.25">
      <c r="C39" s="253"/>
      <c r="D39" s="253"/>
      <c r="E39" s="253"/>
      <c r="F39" s="253"/>
      <c r="G39" s="253"/>
      <c r="H39" s="253"/>
      <c r="I39" s="253"/>
      <c r="J39" s="253"/>
      <c r="K39" s="253"/>
      <c r="L39" s="253"/>
      <c r="M39" s="253"/>
      <c r="N39" s="253"/>
      <c r="O39" s="253"/>
      <c r="P39" s="253"/>
      <c r="Q39" s="253"/>
      <c r="R39" s="253"/>
      <c r="S39" s="253"/>
      <c r="T39" s="253"/>
    </row>
    <row r="40" spans="2:44" x14ac:dyDescent="0.25">
      <c r="C40" s="253"/>
      <c r="D40" s="253"/>
      <c r="E40" s="253"/>
      <c r="F40" s="253"/>
      <c r="G40" s="253"/>
      <c r="H40" s="253"/>
      <c r="I40" s="253"/>
      <c r="J40" s="253"/>
      <c r="K40" s="253"/>
      <c r="L40" s="253"/>
      <c r="M40" s="253"/>
      <c r="N40" s="253"/>
      <c r="O40" s="253"/>
      <c r="P40" s="253"/>
      <c r="Q40" s="253"/>
      <c r="R40" s="253"/>
      <c r="S40" s="253"/>
      <c r="T40" s="253"/>
    </row>
    <row r="41" spans="2:44" x14ac:dyDescent="0.25">
      <c r="C41" s="253"/>
      <c r="D41" s="253"/>
      <c r="E41" s="253"/>
      <c r="F41" s="253"/>
      <c r="G41" s="253"/>
      <c r="H41" s="253"/>
      <c r="I41" s="253"/>
      <c r="J41" s="253"/>
      <c r="K41" s="253"/>
      <c r="L41" s="253"/>
      <c r="M41" s="253"/>
      <c r="N41" s="253"/>
      <c r="O41" s="253"/>
      <c r="P41" s="253"/>
      <c r="Q41" s="253"/>
      <c r="R41" s="253"/>
      <c r="S41" s="253"/>
      <c r="T41" s="253"/>
    </row>
    <row r="42" spans="2:44" x14ac:dyDescent="0.25">
      <c r="C42" s="253"/>
      <c r="D42" s="253"/>
      <c r="E42" s="253"/>
      <c r="F42" s="253"/>
      <c r="G42" s="253"/>
      <c r="H42" s="253"/>
      <c r="I42" s="253"/>
      <c r="J42" s="253"/>
      <c r="K42" s="253"/>
      <c r="L42" s="253"/>
      <c r="M42" s="253"/>
      <c r="N42" s="253"/>
      <c r="O42" s="253"/>
      <c r="P42" s="253"/>
      <c r="Q42" s="253"/>
      <c r="R42" s="253"/>
      <c r="S42" s="253"/>
      <c r="T42" s="253"/>
    </row>
    <row r="43" spans="2:44" x14ac:dyDescent="0.25">
      <c r="C43" s="260"/>
      <c r="D43" s="260"/>
      <c r="E43" s="260"/>
      <c r="F43" s="260"/>
      <c r="G43" s="260"/>
      <c r="H43" s="260"/>
      <c r="I43" s="260"/>
      <c r="J43" s="260"/>
      <c r="K43" s="260"/>
      <c r="L43" s="260"/>
      <c r="M43" s="260"/>
      <c r="N43" s="260"/>
      <c r="O43" s="260"/>
      <c r="P43" s="260"/>
      <c r="Q43" s="260"/>
      <c r="R43" s="260"/>
      <c r="S43" s="260"/>
      <c r="T43" s="260"/>
    </row>
    <row r="44" spans="2:44" x14ac:dyDescent="0.25">
      <c r="C44" s="260"/>
      <c r="D44" s="260"/>
      <c r="E44" s="260"/>
      <c r="F44" s="260"/>
      <c r="G44" s="260"/>
      <c r="H44" s="260"/>
      <c r="I44" s="260"/>
      <c r="J44" s="260"/>
      <c r="K44" s="260"/>
      <c r="L44" s="260"/>
      <c r="M44" s="260"/>
      <c r="N44" s="260"/>
      <c r="O44" s="260"/>
      <c r="P44" s="260"/>
      <c r="Q44" s="260"/>
      <c r="R44" s="260"/>
      <c r="S44" s="260"/>
      <c r="T44" s="260"/>
    </row>
    <row r="45" spans="2:44" x14ac:dyDescent="0.25">
      <c r="C45" s="253"/>
      <c r="D45" s="253"/>
      <c r="E45" s="253"/>
      <c r="F45" s="253"/>
      <c r="G45" s="253"/>
      <c r="H45" s="253"/>
      <c r="I45" s="253"/>
      <c r="J45" s="253"/>
      <c r="K45" s="253"/>
      <c r="L45" s="253"/>
      <c r="M45" s="253"/>
      <c r="N45" s="253"/>
      <c r="O45" s="253"/>
      <c r="P45" s="253"/>
      <c r="Q45" s="253"/>
      <c r="R45" s="253"/>
      <c r="S45" s="253"/>
      <c r="T45" s="253"/>
    </row>
    <row r="46" spans="2:44" x14ac:dyDescent="0.25">
      <c r="C46" s="253"/>
      <c r="D46" s="253"/>
      <c r="E46" s="253"/>
      <c r="F46" s="253"/>
      <c r="G46" s="253"/>
      <c r="H46" s="253"/>
      <c r="I46" s="253"/>
      <c r="J46" s="253"/>
      <c r="K46" s="253"/>
      <c r="L46" s="253"/>
      <c r="M46" s="253"/>
      <c r="N46" s="253"/>
      <c r="O46" s="253"/>
      <c r="P46" s="253"/>
      <c r="Q46" s="253"/>
      <c r="R46" s="253"/>
      <c r="S46" s="253"/>
      <c r="T46" s="253"/>
    </row>
    <row r="47" spans="2:44" x14ac:dyDescent="0.25">
      <c r="C47" s="253"/>
      <c r="D47" s="253"/>
      <c r="E47" s="253"/>
      <c r="F47" s="253"/>
      <c r="G47" s="253"/>
      <c r="H47" s="253"/>
      <c r="I47" s="253"/>
      <c r="J47" s="253"/>
      <c r="K47" s="253"/>
      <c r="L47" s="253"/>
      <c r="M47" s="253"/>
      <c r="N47" s="253"/>
      <c r="O47" s="253"/>
      <c r="P47" s="253"/>
      <c r="Q47" s="253"/>
      <c r="R47" s="253"/>
      <c r="S47" s="253"/>
      <c r="T47" s="253"/>
    </row>
    <row r="48" spans="2:44" x14ac:dyDescent="0.25">
      <c r="C48" s="253"/>
      <c r="D48" s="253"/>
      <c r="E48" s="253"/>
      <c r="F48" s="253"/>
      <c r="G48" s="253"/>
      <c r="H48" s="253"/>
      <c r="I48" s="253"/>
      <c r="J48" s="253"/>
      <c r="K48" s="253"/>
      <c r="L48" s="253"/>
      <c r="M48" s="253"/>
      <c r="N48" s="253"/>
      <c r="O48" s="253"/>
      <c r="P48" s="253"/>
      <c r="Q48" s="253"/>
      <c r="R48" s="253"/>
      <c r="S48" s="253"/>
      <c r="T48" s="253"/>
    </row>
    <row r="49" spans="3:20" x14ac:dyDescent="0.25">
      <c r="C49" s="260"/>
      <c r="D49" s="260"/>
      <c r="E49" s="260"/>
      <c r="F49" s="260"/>
      <c r="G49" s="260"/>
      <c r="H49" s="260"/>
      <c r="I49" s="260"/>
      <c r="J49" s="260"/>
      <c r="K49" s="260"/>
      <c r="L49" s="260"/>
      <c r="M49" s="260"/>
      <c r="N49" s="260"/>
      <c r="O49" s="260"/>
      <c r="P49" s="260"/>
      <c r="Q49" s="260"/>
      <c r="R49" s="260"/>
      <c r="S49" s="260"/>
      <c r="T49" s="260"/>
    </row>
    <row r="50" spans="3:20" x14ac:dyDescent="0.25">
      <c r="C50" s="260"/>
      <c r="D50" s="260"/>
      <c r="E50" s="260"/>
      <c r="F50" s="260"/>
      <c r="G50" s="260"/>
      <c r="H50" s="260"/>
      <c r="I50" s="260"/>
      <c r="J50" s="260"/>
      <c r="K50" s="260"/>
      <c r="L50" s="260"/>
      <c r="M50" s="260"/>
      <c r="N50" s="260"/>
      <c r="O50" s="260"/>
      <c r="P50" s="260"/>
      <c r="Q50" s="260"/>
      <c r="R50" s="260"/>
      <c r="S50" s="260"/>
      <c r="T50" s="260"/>
    </row>
    <row r="51" spans="3:20" x14ac:dyDescent="0.25">
      <c r="C51" s="299"/>
      <c r="D51" s="299"/>
      <c r="E51" s="299"/>
      <c r="F51" s="299"/>
      <c r="G51" s="299"/>
      <c r="H51" s="299"/>
      <c r="I51" s="299"/>
      <c r="J51" s="299"/>
      <c r="K51" s="299"/>
      <c r="L51" s="299"/>
      <c r="M51" s="299"/>
      <c r="N51" s="299"/>
      <c r="O51" s="299"/>
      <c r="P51" s="299"/>
      <c r="Q51" s="299"/>
      <c r="R51" s="299"/>
      <c r="S51" s="299"/>
      <c r="T51" s="299"/>
    </row>
    <row r="52" spans="3:20" x14ac:dyDescent="0.25">
      <c r="C52" s="227"/>
      <c r="D52" s="227"/>
      <c r="E52" s="227"/>
      <c r="F52" s="227"/>
      <c r="G52" s="227"/>
      <c r="H52" s="227"/>
      <c r="I52" s="227"/>
      <c r="J52" s="227"/>
      <c r="K52" s="227"/>
      <c r="L52" s="227"/>
      <c r="M52" s="227"/>
      <c r="N52" s="227"/>
      <c r="O52" s="227"/>
      <c r="P52" s="227"/>
      <c r="Q52" s="227"/>
      <c r="R52" s="227"/>
      <c r="S52" s="227"/>
      <c r="T52" s="227"/>
    </row>
    <row r="53" spans="3:20" x14ac:dyDescent="0.25">
      <c r="C53" s="300"/>
      <c r="D53" s="300"/>
      <c r="E53" s="300"/>
      <c r="F53" s="300"/>
      <c r="G53" s="300"/>
      <c r="H53" s="300"/>
      <c r="I53" s="300"/>
      <c r="J53" s="300"/>
      <c r="K53" s="300"/>
      <c r="L53" s="300"/>
      <c r="M53" s="300"/>
      <c r="N53" s="300"/>
      <c r="O53" s="300"/>
      <c r="P53" s="300"/>
      <c r="Q53" s="300"/>
      <c r="R53" s="300"/>
      <c r="S53" s="300"/>
      <c r="T53" s="300"/>
    </row>
    <row r="54" spans="3:20" x14ac:dyDescent="0.25">
      <c r="C54" s="300"/>
      <c r="D54" s="300"/>
      <c r="E54" s="300"/>
      <c r="F54" s="300"/>
      <c r="G54" s="300"/>
      <c r="H54" s="300"/>
      <c r="I54" s="300"/>
      <c r="J54" s="300"/>
      <c r="K54" s="300"/>
      <c r="L54" s="300"/>
      <c r="M54" s="300"/>
      <c r="N54" s="300"/>
      <c r="O54" s="300"/>
      <c r="P54" s="300"/>
      <c r="Q54" s="300"/>
      <c r="R54" s="300"/>
      <c r="S54" s="300"/>
      <c r="T54" s="300"/>
    </row>
    <row r="55" spans="3:20" x14ac:dyDescent="0.25">
      <c r="C55" s="97"/>
      <c r="D55" s="97"/>
      <c r="E55" s="97"/>
      <c r="F55" s="97"/>
      <c r="G55" s="97"/>
      <c r="H55" s="97"/>
      <c r="I55" s="97"/>
      <c r="J55" s="97"/>
      <c r="K55" s="97"/>
      <c r="L55" s="97"/>
      <c r="M55" s="97"/>
      <c r="N55" s="97"/>
      <c r="O55" s="97"/>
      <c r="P55" s="97"/>
      <c r="Q55" s="97"/>
      <c r="R55" s="97"/>
      <c r="S55" s="97"/>
      <c r="T55" s="97"/>
    </row>
    <row r="56" spans="3:20" x14ac:dyDescent="0.25">
      <c r="C56" s="97"/>
      <c r="D56" s="97"/>
      <c r="E56" s="97"/>
      <c r="F56" s="97"/>
      <c r="G56" s="97"/>
      <c r="H56" s="97"/>
      <c r="I56" s="97"/>
      <c r="J56" s="97"/>
      <c r="K56" s="97"/>
      <c r="L56" s="97"/>
      <c r="M56" s="97"/>
      <c r="N56" s="97"/>
      <c r="O56" s="97"/>
      <c r="P56" s="97"/>
      <c r="Q56" s="97"/>
      <c r="R56" s="97"/>
      <c r="S56" s="97"/>
      <c r="T56" s="97"/>
    </row>
    <row r="57" spans="3:20" x14ac:dyDescent="0.25">
      <c r="C57" s="97"/>
      <c r="D57" s="97"/>
      <c r="E57" s="97"/>
      <c r="F57" s="97"/>
      <c r="G57" s="97"/>
      <c r="H57" s="97"/>
      <c r="I57" s="97"/>
      <c r="J57" s="97"/>
      <c r="K57" s="97"/>
      <c r="L57" s="97"/>
      <c r="M57" s="97"/>
      <c r="N57" s="97"/>
      <c r="O57" s="97"/>
      <c r="P57" s="97"/>
      <c r="Q57" s="97"/>
      <c r="R57" s="97"/>
      <c r="S57" s="97"/>
      <c r="T57" s="97"/>
    </row>
    <row r="58" spans="3:20" x14ac:dyDescent="0.25">
      <c r="C58" s="97"/>
      <c r="D58" s="97"/>
      <c r="E58" s="97"/>
      <c r="F58" s="97"/>
      <c r="G58" s="97"/>
      <c r="H58" s="97"/>
      <c r="I58" s="97"/>
      <c r="J58" s="97"/>
      <c r="K58" s="97"/>
      <c r="L58" s="97"/>
      <c r="M58" s="97"/>
      <c r="N58" s="97"/>
      <c r="O58" s="97"/>
      <c r="P58" s="97"/>
      <c r="Q58" s="97"/>
      <c r="R58" s="97"/>
      <c r="S58" s="97"/>
      <c r="T58" s="97"/>
    </row>
    <row r="59" spans="3:20" x14ac:dyDescent="0.25">
      <c r="C59" s="237"/>
      <c r="D59" s="237"/>
      <c r="E59" s="237"/>
      <c r="F59" s="237"/>
      <c r="G59" s="237"/>
      <c r="H59" s="237"/>
      <c r="I59" s="237"/>
      <c r="J59" s="237"/>
      <c r="K59" s="237"/>
      <c r="L59" s="237"/>
      <c r="M59" s="237"/>
      <c r="N59" s="237"/>
      <c r="O59" s="237"/>
      <c r="P59" s="237"/>
      <c r="Q59" s="237"/>
      <c r="R59" s="237"/>
      <c r="S59" s="237"/>
      <c r="T59" s="237"/>
    </row>
    <row r="60" spans="3:20" x14ac:dyDescent="0.25">
      <c r="C60" s="237"/>
      <c r="D60" s="237"/>
      <c r="E60" s="237"/>
      <c r="F60" s="237"/>
      <c r="G60" s="237"/>
      <c r="H60" s="237"/>
      <c r="I60" s="237"/>
      <c r="J60" s="237"/>
      <c r="K60" s="237"/>
      <c r="L60" s="237"/>
      <c r="M60" s="237"/>
      <c r="N60" s="237"/>
      <c r="O60" s="237"/>
      <c r="P60" s="237"/>
      <c r="Q60" s="237"/>
      <c r="R60" s="237"/>
      <c r="S60" s="237"/>
      <c r="T60" s="237"/>
    </row>
    <row r="61" spans="3:20" x14ac:dyDescent="0.25">
      <c r="C61" s="101"/>
      <c r="D61" s="101"/>
      <c r="E61" s="101"/>
      <c r="F61" s="101"/>
      <c r="G61" s="101"/>
      <c r="H61" s="101"/>
      <c r="I61" s="101"/>
      <c r="J61" s="101"/>
      <c r="K61" s="101"/>
      <c r="L61" s="101"/>
      <c r="M61" s="101"/>
      <c r="N61" s="101"/>
      <c r="O61" s="101"/>
      <c r="P61" s="101"/>
      <c r="Q61" s="101"/>
      <c r="R61" s="101"/>
      <c r="S61" s="101"/>
      <c r="T61" s="101"/>
    </row>
    <row r="63" spans="3:20" x14ac:dyDescent="0.25">
      <c r="C63" s="253"/>
      <c r="D63" s="253"/>
      <c r="E63" s="253"/>
      <c r="F63" s="253"/>
      <c r="G63" s="253"/>
      <c r="H63" s="253"/>
      <c r="I63" s="253"/>
      <c r="J63" s="253"/>
      <c r="K63" s="253"/>
      <c r="L63" s="253"/>
      <c r="M63" s="253"/>
      <c r="N63" s="253"/>
      <c r="O63" s="253"/>
      <c r="P63" s="253"/>
      <c r="Q63" s="253"/>
      <c r="R63" s="253"/>
      <c r="S63" s="253"/>
      <c r="T63" s="253"/>
    </row>
    <row r="64" spans="3:20" x14ac:dyDescent="0.25">
      <c r="C64" s="260"/>
      <c r="D64" s="260"/>
      <c r="E64" s="260"/>
      <c r="F64" s="260"/>
      <c r="G64" s="260"/>
      <c r="H64" s="260"/>
      <c r="I64" s="260"/>
      <c r="J64" s="260"/>
      <c r="K64" s="260"/>
      <c r="L64" s="260"/>
      <c r="M64" s="260"/>
      <c r="N64" s="260"/>
      <c r="O64" s="260"/>
      <c r="P64" s="260"/>
      <c r="Q64" s="260"/>
      <c r="R64" s="260"/>
      <c r="S64" s="260"/>
      <c r="T64" s="260"/>
    </row>
    <row r="65" spans="3:20" x14ac:dyDescent="0.25">
      <c r="C65" s="253"/>
      <c r="D65" s="253"/>
      <c r="E65" s="253"/>
      <c r="F65" s="253"/>
      <c r="G65" s="253"/>
      <c r="H65" s="253"/>
      <c r="I65" s="253"/>
      <c r="J65" s="253"/>
      <c r="K65" s="253"/>
      <c r="L65" s="253"/>
      <c r="M65" s="253"/>
      <c r="N65" s="253"/>
      <c r="O65" s="253"/>
      <c r="P65" s="253"/>
      <c r="Q65" s="253"/>
      <c r="R65" s="253"/>
      <c r="S65" s="253"/>
      <c r="T65" s="253"/>
    </row>
    <row r="66" spans="3:20" x14ac:dyDescent="0.25">
      <c r="C66" s="261"/>
      <c r="D66" s="261"/>
      <c r="E66" s="261"/>
      <c r="F66" s="261"/>
      <c r="G66" s="261"/>
      <c r="H66" s="261"/>
      <c r="I66" s="261"/>
      <c r="J66" s="261"/>
      <c r="K66" s="261"/>
      <c r="L66" s="261"/>
      <c r="M66" s="261"/>
      <c r="N66" s="261"/>
      <c r="O66" s="261"/>
      <c r="P66" s="261"/>
      <c r="Q66" s="261"/>
      <c r="R66" s="261"/>
      <c r="S66" s="261"/>
      <c r="T66" s="261"/>
    </row>
    <row r="67" spans="3:20" x14ac:dyDescent="0.25">
      <c r="C67" s="253"/>
      <c r="D67" s="253"/>
      <c r="E67" s="253"/>
      <c r="F67" s="253"/>
      <c r="G67" s="253"/>
      <c r="H67" s="253"/>
      <c r="I67" s="253"/>
      <c r="J67" s="253"/>
      <c r="K67" s="253"/>
      <c r="L67" s="253"/>
      <c r="M67" s="253"/>
      <c r="N67" s="253"/>
      <c r="O67" s="253"/>
      <c r="P67" s="253"/>
      <c r="Q67" s="253"/>
      <c r="R67" s="253"/>
      <c r="S67" s="253"/>
      <c r="T67" s="253"/>
    </row>
    <row r="68" spans="3:20" x14ac:dyDescent="0.25">
      <c r="C68" s="253"/>
      <c r="D68" s="253"/>
      <c r="E68" s="253"/>
      <c r="F68" s="253"/>
      <c r="G68" s="253"/>
      <c r="H68" s="253"/>
      <c r="I68" s="253"/>
      <c r="J68" s="253"/>
      <c r="K68" s="253"/>
      <c r="L68" s="253"/>
      <c r="M68" s="253"/>
      <c r="N68" s="253"/>
      <c r="O68" s="253"/>
      <c r="P68" s="253"/>
      <c r="Q68" s="253"/>
      <c r="R68" s="253"/>
      <c r="S68" s="253"/>
      <c r="T68" s="253"/>
    </row>
    <row r="69" spans="3:20" x14ac:dyDescent="0.25">
      <c r="C69" s="253"/>
      <c r="D69" s="253"/>
      <c r="E69" s="253"/>
      <c r="F69" s="253"/>
      <c r="G69" s="253"/>
      <c r="H69" s="253"/>
      <c r="I69" s="253"/>
      <c r="J69" s="253"/>
      <c r="K69" s="253"/>
      <c r="L69" s="253"/>
      <c r="M69" s="253"/>
      <c r="N69" s="253"/>
      <c r="O69" s="253"/>
      <c r="P69" s="253"/>
      <c r="Q69" s="253"/>
      <c r="R69" s="253"/>
      <c r="S69" s="253"/>
      <c r="T69" s="253"/>
    </row>
    <row r="70" spans="3:20" x14ac:dyDescent="0.25">
      <c r="C70" s="253"/>
      <c r="D70" s="253"/>
      <c r="E70" s="253"/>
      <c r="F70" s="253"/>
      <c r="G70" s="253"/>
      <c r="H70" s="253"/>
      <c r="I70" s="253"/>
      <c r="J70" s="253"/>
      <c r="K70" s="253"/>
      <c r="L70" s="253"/>
      <c r="M70" s="253"/>
      <c r="N70" s="253"/>
      <c r="O70" s="253"/>
      <c r="P70" s="253"/>
      <c r="Q70" s="253"/>
      <c r="R70" s="253"/>
      <c r="S70" s="253"/>
      <c r="T70" s="253"/>
    </row>
    <row r="71" spans="3:20" x14ac:dyDescent="0.25">
      <c r="C71" s="253"/>
      <c r="D71" s="253"/>
      <c r="E71" s="253"/>
      <c r="F71" s="253"/>
      <c r="G71" s="253"/>
      <c r="H71" s="253"/>
      <c r="I71" s="253"/>
      <c r="J71" s="253"/>
      <c r="K71" s="253"/>
      <c r="L71" s="253"/>
      <c r="M71" s="253"/>
      <c r="N71" s="253"/>
      <c r="O71" s="253"/>
      <c r="P71" s="253"/>
      <c r="Q71" s="253"/>
      <c r="R71" s="253"/>
      <c r="S71" s="253"/>
      <c r="T71" s="253"/>
    </row>
    <row r="72" spans="3:20" x14ac:dyDescent="0.25">
      <c r="C72" s="253"/>
      <c r="D72" s="253"/>
      <c r="E72" s="253"/>
      <c r="F72" s="253"/>
      <c r="G72" s="253"/>
      <c r="H72" s="253"/>
      <c r="I72" s="253"/>
      <c r="J72" s="253"/>
      <c r="K72" s="253"/>
      <c r="L72" s="253"/>
      <c r="M72" s="253"/>
      <c r="N72" s="253"/>
      <c r="O72" s="253"/>
      <c r="P72" s="253"/>
      <c r="Q72" s="253"/>
      <c r="R72" s="253"/>
      <c r="S72" s="253"/>
      <c r="T72" s="253"/>
    </row>
    <row r="73" spans="3:20" x14ac:dyDescent="0.25">
      <c r="C73" s="253"/>
      <c r="D73" s="253"/>
      <c r="E73" s="253"/>
      <c r="F73" s="253"/>
      <c r="G73" s="253"/>
      <c r="H73" s="253"/>
      <c r="I73" s="253"/>
      <c r="J73" s="253"/>
      <c r="K73" s="253"/>
      <c r="L73" s="253"/>
      <c r="M73" s="253"/>
      <c r="N73" s="253"/>
      <c r="O73" s="253"/>
      <c r="P73" s="253"/>
      <c r="Q73" s="253"/>
      <c r="R73" s="253"/>
      <c r="S73" s="253"/>
      <c r="T73" s="253"/>
    </row>
    <row r="74" spans="3:20" x14ac:dyDescent="0.25">
      <c r="C74" s="253"/>
      <c r="D74" s="253"/>
      <c r="E74" s="253"/>
      <c r="F74" s="253"/>
      <c r="G74" s="253"/>
      <c r="H74" s="253"/>
      <c r="I74" s="253"/>
      <c r="J74" s="253"/>
      <c r="K74" s="253"/>
      <c r="L74" s="253"/>
      <c r="M74" s="253"/>
      <c r="N74" s="253"/>
      <c r="O74" s="253"/>
      <c r="P74" s="253"/>
      <c r="Q74" s="253"/>
      <c r="R74" s="253"/>
      <c r="S74" s="253"/>
      <c r="T74" s="253"/>
    </row>
    <row r="75" spans="3:20" x14ac:dyDescent="0.25">
      <c r="C75" s="253"/>
      <c r="D75" s="253"/>
      <c r="E75" s="253"/>
      <c r="F75" s="253"/>
      <c r="G75" s="253"/>
      <c r="H75" s="253"/>
      <c r="I75" s="253"/>
      <c r="J75" s="253"/>
      <c r="K75" s="253"/>
      <c r="L75" s="253"/>
      <c r="M75" s="253"/>
      <c r="N75" s="253"/>
      <c r="O75" s="253"/>
      <c r="P75" s="253"/>
      <c r="Q75" s="253"/>
      <c r="R75" s="253"/>
      <c r="S75" s="253"/>
      <c r="T75" s="253"/>
    </row>
    <row r="76" spans="3:20" x14ac:dyDescent="0.25">
      <c r="C76" s="253"/>
      <c r="D76" s="253"/>
      <c r="E76" s="253"/>
      <c r="F76" s="253"/>
      <c r="G76" s="253"/>
      <c r="H76" s="253"/>
      <c r="I76" s="253"/>
      <c r="J76" s="253"/>
      <c r="K76" s="253"/>
      <c r="L76" s="253"/>
      <c r="M76" s="253"/>
      <c r="N76" s="253"/>
      <c r="O76" s="253"/>
      <c r="P76" s="253"/>
      <c r="Q76" s="253"/>
      <c r="R76" s="253"/>
      <c r="S76" s="253"/>
      <c r="T76" s="253"/>
    </row>
    <row r="77" spans="3:20" x14ac:dyDescent="0.25">
      <c r="C77" s="260"/>
      <c r="D77" s="260"/>
      <c r="E77" s="260"/>
      <c r="F77" s="260"/>
      <c r="G77" s="260"/>
      <c r="H77" s="260"/>
      <c r="I77" s="260"/>
      <c r="J77" s="260"/>
      <c r="K77" s="260"/>
      <c r="L77" s="260"/>
      <c r="M77" s="260"/>
      <c r="N77" s="260"/>
      <c r="O77" s="260"/>
      <c r="P77" s="260"/>
      <c r="Q77" s="260"/>
      <c r="R77" s="260"/>
      <c r="S77" s="260"/>
      <c r="T77" s="260"/>
    </row>
    <row r="78" spans="3:20" x14ac:dyDescent="0.25">
      <c r="C78" s="260"/>
      <c r="D78" s="260"/>
      <c r="E78" s="260"/>
      <c r="F78" s="260"/>
      <c r="G78" s="260"/>
      <c r="H78" s="260"/>
      <c r="I78" s="260"/>
      <c r="J78" s="260"/>
      <c r="K78" s="260"/>
      <c r="L78" s="260"/>
      <c r="M78" s="260"/>
      <c r="N78" s="260"/>
      <c r="O78" s="260"/>
      <c r="P78" s="260"/>
      <c r="Q78" s="260"/>
      <c r="R78" s="260"/>
      <c r="S78" s="260"/>
      <c r="T78" s="260"/>
    </row>
    <row r="79" spans="3:20" x14ac:dyDescent="0.25">
      <c r="C79" s="260"/>
      <c r="D79" s="260"/>
      <c r="E79" s="260"/>
      <c r="F79" s="260"/>
      <c r="G79" s="260"/>
      <c r="H79" s="260"/>
      <c r="I79" s="260"/>
      <c r="J79" s="260"/>
      <c r="K79" s="260"/>
      <c r="L79" s="260"/>
      <c r="M79" s="260"/>
      <c r="N79" s="260"/>
      <c r="O79" s="260"/>
      <c r="P79" s="260"/>
      <c r="Q79" s="260"/>
      <c r="R79" s="260"/>
      <c r="S79" s="260"/>
      <c r="T79" s="260"/>
    </row>
    <row r="80" spans="3:20" x14ac:dyDescent="0.25">
      <c r="C80" s="253"/>
      <c r="D80" s="253"/>
      <c r="E80" s="253"/>
      <c r="F80" s="253"/>
      <c r="G80" s="253"/>
      <c r="H80" s="253"/>
      <c r="I80" s="253"/>
      <c r="J80" s="253"/>
      <c r="K80" s="253"/>
      <c r="L80" s="253"/>
      <c r="M80" s="253"/>
      <c r="N80" s="253"/>
      <c r="O80" s="253"/>
      <c r="P80" s="253"/>
      <c r="Q80" s="253"/>
      <c r="R80" s="253"/>
      <c r="S80" s="253"/>
      <c r="T80" s="253"/>
    </row>
    <row r="81" spans="3:20" x14ac:dyDescent="0.25">
      <c r="C81" s="261"/>
      <c r="D81" s="261"/>
      <c r="E81" s="261"/>
      <c r="F81" s="261"/>
      <c r="G81" s="261"/>
      <c r="H81" s="261"/>
      <c r="I81" s="261"/>
      <c r="J81" s="261"/>
      <c r="K81" s="261"/>
      <c r="L81" s="261"/>
      <c r="M81" s="261"/>
      <c r="N81" s="261"/>
      <c r="O81" s="261"/>
      <c r="P81" s="261"/>
      <c r="Q81" s="261"/>
      <c r="R81" s="261"/>
      <c r="S81" s="261"/>
      <c r="T81" s="261"/>
    </row>
    <row r="82" spans="3:20" x14ac:dyDescent="0.25">
      <c r="C82" s="260"/>
      <c r="D82" s="260"/>
      <c r="E82" s="260"/>
      <c r="F82" s="260"/>
      <c r="G82" s="260"/>
      <c r="H82" s="260"/>
      <c r="I82" s="260"/>
      <c r="J82" s="260"/>
      <c r="K82" s="260"/>
      <c r="L82" s="260"/>
      <c r="M82" s="260"/>
      <c r="N82" s="260"/>
      <c r="O82" s="260"/>
      <c r="P82" s="260"/>
      <c r="Q82" s="260"/>
      <c r="R82" s="260"/>
      <c r="S82" s="260"/>
      <c r="T82" s="260"/>
    </row>
    <row r="83" spans="3:20" x14ac:dyDescent="0.25">
      <c r="C83" s="253"/>
      <c r="D83" s="253"/>
      <c r="E83" s="253"/>
      <c r="F83" s="253"/>
      <c r="G83" s="253"/>
      <c r="H83" s="253"/>
      <c r="I83" s="253"/>
      <c r="J83" s="253"/>
      <c r="K83" s="253"/>
      <c r="L83" s="253"/>
      <c r="M83" s="253"/>
      <c r="N83" s="253"/>
      <c r="O83" s="253"/>
      <c r="P83" s="253"/>
      <c r="Q83" s="253"/>
      <c r="R83" s="253"/>
      <c r="S83" s="253"/>
      <c r="T83" s="253"/>
    </row>
    <row r="84" spans="3:20" x14ac:dyDescent="0.25">
      <c r="C84" s="253"/>
      <c r="D84" s="253"/>
      <c r="E84" s="253"/>
      <c r="F84" s="253"/>
      <c r="G84" s="253"/>
      <c r="H84" s="253"/>
      <c r="I84" s="253"/>
      <c r="J84" s="253"/>
      <c r="K84" s="253"/>
      <c r="L84" s="253"/>
      <c r="M84" s="253"/>
      <c r="N84" s="253"/>
      <c r="O84" s="253"/>
      <c r="P84" s="253"/>
      <c r="Q84" s="253"/>
      <c r="R84" s="253"/>
      <c r="S84" s="253"/>
      <c r="T84" s="253"/>
    </row>
    <row r="85" spans="3:20" x14ac:dyDescent="0.25">
      <c r="C85" s="260"/>
      <c r="D85" s="260"/>
      <c r="E85" s="260"/>
      <c r="F85" s="260"/>
      <c r="G85" s="260"/>
      <c r="H85" s="260"/>
      <c r="I85" s="260"/>
      <c r="J85" s="260"/>
      <c r="K85" s="260"/>
      <c r="L85" s="260"/>
      <c r="M85" s="260"/>
      <c r="N85" s="260"/>
      <c r="O85" s="260"/>
      <c r="P85" s="260"/>
      <c r="Q85" s="260"/>
      <c r="R85" s="260"/>
      <c r="S85" s="260"/>
      <c r="T85" s="260"/>
    </row>
    <row r="86" spans="3:20" x14ac:dyDescent="0.25">
      <c r="C86" s="260"/>
      <c r="D86" s="260"/>
      <c r="E86" s="260"/>
      <c r="F86" s="260"/>
      <c r="G86" s="260"/>
      <c r="H86" s="260"/>
      <c r="I86" s="260"/>
      <c r="J86" s="260"/>
      <c r="K86" s="260"/>
      <c r="L86" s="260"/>
      <c r="M86" s="260"/>
      <c r="N86" s="260"/>
      <c r="O86" s="260"/>
      <c r="P86" s="260"/>
      <c r="Q86" s="260"/>
      <c r="R86" s="260"/>
      <c r="S86" s="260"/>
      <c r="T86" s="260"/>
    </row>
    <row r="87" spans="3:20" x14ac:dyDescent="0.25">
      <c r="C87" s="253"/>
      <c r="D87" s="253"/>
      <c r="E87" s="253"/>
      <c r="F87" s="253"/>
      <c r="G87" s="253"/>
      <c r="H87" s="253"/>
      <c r="I87" s="253"/>
      <c r="J87" s="253"/>
      <c r="K87" s="253"/>
      <c r="L87" s="253"/>
      <c r="M87" s="253"/>
      <c r="N87" s="253"/>
      <c r="O87" s="253"/>
      <c r="P87" s="253"/>
      <c r="Q87" s="253"/>
      <c r="R87" s="253"/>
      <c r="S87" s="253"/>
      <c r="T87" s="253"/>
    </row>
    <row r="88" spans="3:20" x14ac:dyDescent="0.25">
      <c r="C88" s="261"/>
      <c r="D88" s="261"/>
      <c r="E88" s="261"/>
      <c r="F88" s="261"/>
      <c r="G88" s="261"/>
      <c r="H88" s="261"/>
      <c r="I88" s="261"/>
      <c r="J88" s="261"/>
      <c r="K88" s="261"/>
      <c r="L88" s="261"/>
      <c r="M88" s="261"/>
      <c r="N88" s="261"/>
      <c r="O88" s="261"/>
      <c r="P88" s="261"/>
      <c r="Q88" s="261"/>
      <c r="R88" s="261"/>
      <c r="S88" s="261"/>
      <c r="T88" s="261"/>
    </row>
    <row r="89" spans="3:20" x14ac:dyDescent="0.25">
      <c r="C89" s="260"/>
      <c r="D89" s="260"/>
      <c r="E89" s="260"/>
      <c r="F89" s="260"/>
      <c r="G89" s="260"/>
      <c r="H89" s="260"/>
      <c r="I89" s="260"/>
      <c r="J89" s="260"/>
      <c r="K89" s="260"/>
      <c r="L89" s="260"/>
      <c r="M89" s="260"/>
      <c r="N89" s="260"/>
      <c r="O89" s="260"/>
      <c r="P89" s="260"/>
      <c r="Q89" s="260"/>
      <c r="R89" s="260"/>
      <c r="S89" s="260"/>
      <c r="T89" s="260"/>
    </row>
    <row r="90" spans="3:20" x14ac:dyDescent="0.25">
      <c r="C90" s="253"/>
      <c r="D90" s="253"/>
      <c r="E90" s="253"/>
      <c r="F90" s="253"/>
      <c r="G90" s="253"/>
      <c r="H90" s="253"/>
      <c r="I90" s="253"/>
      <c r="J90" s="253"/>
      <c r="K90" s="253"/>
      <c r="L90" s="253"/>
      <c r="M90" s="253"/>
      <c r="N90" s="253"/>
      <c r="O90" s="253"/>
      <c r="P90" s="253"/>
      <c r="Q90" s="253"/>
      <c r="R90" s="253"/>
      <c r="S90" s="253"/>
      <c r="T90" s="253"/>
    </row>
    <row r="91" spans="3:20" x14ac:dyDescent="0.25">
      <c r="C91" s="253"/>
      <c r="D91" s="253"/>
      <c r="E91" s="253"/>
      <c r="F91" s="253"/>
      <c r="G91" s="253"/>
      <c r="H91" s="253"/>
      <c r="I91" s="253"/>
      <c r="J91" s="253"/>
      <c r="K91" s="253"/>
      <c r="L91" s="253"/>
      <c r="M91" s="253"/>
      <c r="N91" s="253"/>
      <c r="O91" s="253"/>
      <c r="P91" s="253"/>
      <c r="Q91" s="253"/>
      <c r="R91" s="253"/>
      <c r="S91" s="253"/>
      <c r="T91" s="253"/>
    </row>
    <row r="92" spans="3:20" x14ac:dyDescent="0.25">
      <c r="C92" s="260"/>
      <c r="D92" s="260"/>
      <c r="E92" s="260"/>
      <c r="F92" s="260"/>
      <c r="G92" s="260"/>
      <c r="H92" s="260"/>
      <c r="I92" s="260"/>
      <c r="J92" s="260"/>
      <c r="K92" s="260"/>
      <c r="L92" s="260"/>
      <c r="M92" s="260"/>
      <c r="N92" s="260"/>
      <c r="O92" s="260"/>
      <c r="P92" s="260"/>
      <c r="Q92" s="260"/>
      <c r="R92" s="260"/>
      <c r="S92" s="260"/>
      <c r="T92" s="260"/>
    </row>
    <row r="93" spans="3:20" x14ac:dyDescent="0.25">
      <c r="C93" s="260"/>
      <c r="D93" s="260"/>
      <c r="E93" s="260"/>
      <c r="F93" s="260"/>
      <c r="G93" s="260"/>
      <c r="H93" s="260"/>
      <c r="I93" s="260"/>
      <c r="J93" s="260"/>
      <c r="K93" s="260"/>
      <c r="L93" s="260"/>
      <c r="M93" s="260"/>
      <c r="N93" s="260"/>
      <c r="O93" s="260"/>
      <c r="P93" s="260"/>
      <c r="Q93" s="260"/>
      <c r="R93" s="260"/>
      <c r="S93" s="260"/>
      <c r="T93" s="260"/>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tabColor rgb="FF384B77"/>
  </sheetPr>
  <dimension ref="B1:BN110"/>
  <sheetViews>
    <sheetView showGridLines="0" zoomScale="80" zoomScaleNormal="75" workbookViewId="0">
      <pane xSplit="19" ySplit="3" topLeftCell="T97" activePane="bottomRight" state="frozen"/>
      <selection activeCell="B2" sqref="B2"/>
      <selection pane="topRight" activeCell="B2" sqref="B2"/>
      <selection pane="bottomLeft" activeCell="B2" sqref="B2"/>
      <selection pane="bottomRight" activeCell="AC114" sqref="AC114"/>
    </sheetView>
  </sheetViews>
  <sheetFormatPr defaultColWidth="10.5703125" defaultRowHeight="15" x14ac:dyDescent="0.25"/>
  <cols>
    <col min="1" max="1" width="5.5703125" customWidth="1"/>
    <col min="2" max="2" width="33.42578125" customWidth="1"/>
    <col min="3" max="10" width="9.140625" customWidth="1"/>
    <col min="11" max="18" width="9.140625" hidden="1" customWidth="1"/>
    <col min="19" max="19" width="5.85546875" hidden="1" customWidth="1"/>
    <col min="20" max="21" width="12" style="223" bestFit="1" customWidth="1"/>
    <col min="22" max="22" width="14.42578125" style="223" bestFit="1" customWidth="1"/>
    <col min="23" max="27" width="10.5703125" style="223"/>
    <col min="28" max="28" width="8.5703125" style="223" customWidth="1"/>
    <col min="29" max="30" width="14.42578125" style="223" bestFit="1" customWidth="1"/>
    <col min="31" max="31" width="9.7109375" style="223" customWidth="1"/>
    <col min="32" max="66" width="10.5703125" style="223"/>
  </cols>
  <sheetData>
    <row r="1" spans="2:45" ht="5.0999999999999996" customHeight="1" x14ac:dyDescent="0.25"/>
    <row r="2" spans="2:45" ht="30" customHeight="1" x14ac:dyDescent="0.25">
      <c r="B2" s="170" t="s">
        <v>298</v>
      </c>
      <c r="C2" s="170"/>
      <c r="D2" s="170"/>
      <c r="E2" s="170"/>
      <c r="F2" s="170"/>
      <c r="G2" s="170"/>
      <c r="H2" s="170"/>
      <c r="I2" s="170"/>
      <c r="J2" s="170"/>
      <c r="K2" s="170"/>
      <c r="L2" s="170"/>
      <c r="M2" s="170"/>
      <c r="N2" s="170"/>
      <c r="O2" s="170"/>
      <c r="P2" s="170"/>
      <c r="Q2" s="170"/>
      <c r="R2" s="170"/>
      <c r="S2" s="170"/>
      <c r="T2" s="224"/>
      <c r="U2" s="224"/>
      <c r="V2" s="224"/>
      <c r="AB2" s="224"/>
      <c r="AC2" s="224"/>
      <c r="AD2" s="224"/>
      <c r="AF2" s="225"/>
      <c r="AG2" s="225"/>
      <c r="AH2" s="225"/>
      <c r="AI2" s="225"/>
      <c r="AL2" s="224"/>
      <c r="AM2" s="224"/>
      <c r="AN2" s="224"/>
    </row>
    <row r="3" spans="2:45" x14ac:dyDescent="0.25">
      <c r="B3" s="164" t="s">
        <v>423</v>
      </c>
      <c r="C3" s="164"/>
      <c r="D3" s="164"/>
      <c r="E3" s="164"/>
      <c r="F3" s="164"/>
      <c r="G3" s="164"/>
      <c r="H3" s="164"/>
      <c r="I3" s="164"/>
      <c r="J3" s="164"/>
      <c r="K3" s="164"/>
      <c r="L3" s="164"/>
      <c r="M3" s="164"/>
      <c r="N3" s="164"/>
      <c r="O3" s="164"/>
      <c r="P3" s="164"/>
      <c r="Q3" s="164"/>
      <c r="R3" s="164"/>
      <c r="S3" s="164"/>
      <c r="T3" s="228">
        <v>2018</v>
      </c>
      <c r="U3" s="228">
        <v>2019</v>
      </c>
      <c r="V3" s="228">
        <v>2020</v>
      </c>
      <c r="W3" s="228">
        <v>2021</v>
      </c>
      <c r="X3" s="228">
        <v>2022</v>
      </c>
      <c r="Y3" s="229">
        <v>2023</v>
      </c>
      <c r="Z3" s="230">
        <v>2024</v>
      </c>
      <c r="AB3" s="231" t="s">
        <v>291</v>
      </c>
      <c r="AC3" s="231" t="s">
        <v>292</v>
      </c>
      <c r="AD3" s="231" t="s">
        <v>293</v>
      </c>
      <c r="AE3" s="231">
        <v>2023</v>
      </c>
      <c r="AF3" s="232" t="s">
        <v>318</v>
      </c>
      <c r="AG3" s="232" t="s">
        <v>319</v>
      </c>
      <c r="AH3" s="232" t="s">
        <v>320</v>
      </c>
      <c r="AI3" s="232">
        <v>2024</v>
      </c>
      <c r="AK3" s="231" t="s">
        <v>291</v>
      </c>
      <c r="AL3" s="231" t="s">
        <v>296</v>
      </c>
      <c r="AM3" s="231" t="s">
        <v>294</v>
      </c>
      <c r="AN3" s="231" t="s">
        <v>295</v>
      </c>
      <c r="AO3" s="232" t="s">
        <v>318</v>
      </c>
      <c r="AP3" s="232" t="s">
        <v>321</v>
      </c>
      <c r="AQ3" s="232" t="s">
        <v>322</v>
      </c>
      <c r="AR3" s="232" t="s">
        <v>323</v>
      </c>
    </row>
    <row r="4" spans="2:45" x14ac:dyDescent="0.25">
      <c r="B4" s="34" t="s">
        <v>102</v>
      </c>
      <c r="C4" s="34"/>
      <c r="D4" s="34"/>
      <c r="E4" s="34"/>
      <c r="F4" s="34"/>
      <c r="G4" s="34"/>
      <c r="H4" s="34"/>
      <c r="I4" s="34"/>
      <c r="J4" s="34"/>
      <c r="K4" s="34"/>
      <c r="L4" s="34"/>
      <c r="M4" s="34"/>
      <c r="N4" s="34"/>
      <c r="O4" s="34"/>
      <c r="P4" s="34"/>
      <c r="Q4" s="34"/>
      <c r="R4" s="34"/>
      <c r="S4" s="34"/>
      <c r="T4" s="301">
        <v>2494.7073357239287</v>
      </c>
      <c r="U4" s="301">
        <v>2408.7607027451768</v>
      </c>
      <c r="V4" s="301">
        <v>2416.1243668612697</v>
      </c>
      <c r="W4" s="301">
        <v>2194.9923312348346</v>
      </c>
      <c r="X4" s="301">
        <v>2640.4279399217949</v>
      </c>
      <c r="Y4" s="301">
        <f t="shared" ref="Y4:Y14" si="0">AE4</f>
        <v>3179.3932961739038</v>
      </c>
      <c r="Z4" s="301"/>
      <c r="AB4" s="517">
        <v>1040</v>
      </c>
      <c r="AC4" s="301">
        <v>1804.5335849620842</v>
      </c>
      <c r="AD4" s="301">
        <v>2531.7269119818288</v>
      </c>
      <c r="AE4" s="301">
        <v>3179.3932961739038</v>
      </c>
      <c r="AF4" s="301">
        <v>865.04911951128997</v>
      </c>
      <c r="AG4" s="301"/>
      <c r="AH4" s="301"/>
      <c r="AI4" s="301"/>
      <c r="AK4" s="301">
        <f t="shared" ref="AK4:AK14" si="1">AB4</f>
        <v>1040</v>
      </c>
      <c r="AL4" s="301">
        <f t="shared" ref="AL4:AN14" si="2">AC4-AB4</f>
        <v>764.53358496208421</v>
      </c>
      <c r="AM4" s="301">
        <f t="shared" si="2"/>
        <v>727.19332701974463</v>
      </c>
      <c r="AN4" s="301">
        <f t="shared" si="2"/>
        <v>647.66638419207493</v>
      </c>
      <c r="AO4" s="301">
        <f t="shared" ref="AO4:AO14" si="3">AF4</f>
        <v>865.04911951128997</v>
      </c>
      <c r="AP4" s="301"/>
      <c r="AQ4" s="301"/>
      <c r="AR4" s="301"/>
    </row>
    <row r="5" spans="2:45" x14ac:dyDescent="0.25">
      <c r="B5" s="135" t="s">
        <v>148</v>
      </c>
      <c r="C5" s="135"/>
      <c r="D5" s="135"/>
      <c r="E5" s="135"/>
      <c r="F5" s="135"/>
      <c r="G5" s="135"/>
      <c r="H5" s="135"/>
      <c r="I5" s="135"/>
      <c r="J5" s="135"/>
      <c r="K5" s="135"/>
      <c r="L5" s="135"/>
      <c r="M5" s="135"/>
      <c r="N5" s="135"/>
      <c r="O5" s="135"/>
      <c r="P5" s="135"/>
      <c r="Q5" s="135"/>
      <c r="R5" s="135"/>
      <c r="S5" s="135"/>
      <c r="T5" s="302">
        <v>586.22741074175156</v>
      </c>
      <c r="U5" s="302">
        <v>546.72053591159772</v>
      </c>
      <c r="V5" s="302">
        <v>545.58948676728096</v>
      </c>
      <c r="W5" s="302">
        <v>596.44404445976681</v>
      </c>
      <c r="X5" s="302">
        <v>770.10349888747703</v>
      </c>
      <c r="Y5" s="302">
        <f t="shared" si="0"/>
        <v>769.40101305457983</v>
      </c>
      <c r="Z5" s="302"/>
      <c r="AB5" s="518">
        <v>201</v>
      </c>
      <c r="AC5" s="302">
        <v>382.6841256525019</v>
      </c>
      <c r="AD5" s="302">
        <v>577.2032353322179</v>
      </c>
      <c r="AE5" s="302">
        <v>769.40101305457983</v>
      </c>
      <c r="AF5" s="302">
        <v>194.96743350704895</v>
      </c>
      <c r="AG5" s="302"/>
      <c r="AH5" s="302"/>
      <c r="AI5" s="302"/>
      <c r="AK5" s="302">
        <f t="shared" si="1"/>
        <v>201</v>
      </c>
      <c r="AL5" s="302">
        <f t="shared" si="2"/>
        <v>181.6841256525019</v>
      </c>
      <c r="AM5" s="302">
        <f t="shared" si="2"/>
        <v>194.519109679716</v>
      </c>
      <c r="AN5" s="302">
        <f t="shared" si="2"/>
        <v>192.19777772236193</v>
      </c>
      <c r="AO5" s="302">
        <f t="shared" si="3"/>
        <v>194.96743350704895</v>
      </c>
      <c r="AP5" s="302"/>
      <c r="AQ5" s="302"/>
      <c r="AR5" s="302"/>
    </row>
    <row r="6" spans="2:45" x14ac:dyDescent="0.25">
      <c r="B6" s="136" t="s">
        <v>149</v>
      </c>
      <c r="C6" s="136"/>
      <c r="D6" s="136"/>
      <c r="E6" s="136"/>
      <c r="F6" s="136"/>
      <c r="G6" s="136"/>
      <c r="H6" s="136"/>
      <c r="I6" s="136"/>
      <c r="J6" s="136"/>
      <c r="K6" s="136"/>
      <c r="L6" s="136"/>
      <c r="M6" s="136"/>
      <c r="N6" s="136"/>
      <c r="O6" s="136"/>
      <c r="P6" s="136"/>
      <c r="Q6" s="136"/>
      <c r="R6" s="136"/>
      <c r="S6" s="136"/>
      <c r="T6" s="302">
        <v>-288.14145278688693</v>
      </c>
      <c r="U6" s="302">
        <v>-423.62241638548812</v>
      </c>
      <c r="V6" s="302">
        <v>-743.75830706031616</v>
      </c>
      <c r="W6" s="302">
        <v>-648.96645605525089</v>
      </c>
      <c r="X6" s="302">
        <v>-467.68097128606991</v>
      </c>
      <c r="Y6" s="302">
        <f t="shared" si="0"/>
        <v>-473.49039507770505</v>
      </c>
      <c r="Z6" s="302"/>
      <c r="AB6" s="518">
        <v>47</v>
      </c>
      <c r="AC6" s="302">
        <v>-0.98658700788300213</v>
      </c>
      <c r="AD6" s="302">
        <v>-470.57289302051703</v>
      </c>
      <c r="AE6" s="302">
        <v>-473.49039507770505</v>
      </c>
      <c r="AF6" s="302">
        <v>-58.238150616014963</v>
      </c>
      <c r="AG6" s="302"/>
      <c r="AH6" s="302"/>
      <c r="AI6" s="302"/>
      <c r="AK6" s="302">
        <f t="shared" si="1"/>
        <v>47</v>
      </c>
      <c r="AL6" s="302">
        <f t="shared" si="2"/>
        <v>-47.986587007883003</v>
      </c>
      <c r="AM6" s="302">
        <f t="shared" si="2"/>
        <v>-469.58630601263405</v>
      </c>
      <c r="AN6" s="302">
        <f t="shared" si="2"/>
        <v>-2.9175020571880168</v>
      </c>
      <c r="AO6" s="302">
        <f t="shared" si="3"/>
        <v>-58.238150616014963</v>
      </c>
      <c r="AP6" s="302"/>
      <c r="AQ6" s="302"/>
      <c r="AR6" s="302"/>
    </row>
    <row r="7" spans="2:45" x14ac:dyDescent="0.25">
      <c r="B7" s="137" t="s">
        <v>150</v>
      </c>
      <c r="C7" s="137"/>
      <c r="D7" s="137"/>
      <c r="E7" s="137"/>
      <c r="F7" s="137"/>
      <c r="G7" s="137"/>
      <c r="H7" s="137"/>
      <c r="I7" s="137"/>
      <c r="J7" s="137"/>
      <c r="K7" s="137"/>
      <c r="L7" s="137"/>
      <c r="M7" s="137"/>
      <c r="N7" s="137"/>
      <c r="O7" s="137"/>
      <c r="P7" s="137"/>
      <c r="Q7" s="137"/>
      <c r="R7" s="137"/>
      <c r="S7" s="137"/>
      <c r="T7" s="301">
        <v>298.08595795486463</v>
      </c>
      <c r="U7" s="301">
        <v>123.0981195261096</v>
      </c>
      <c r="V7" s="301">
        <v>-198.1688202930352</v>
      </c>
      <c r="W7" s="301">
        <v>-52.522411595484073</v>
      </c>
      <c r="X7" s="301">
        <v>302.42252760140713</v>
      </c>
      <c r="Y7" s="301">
        <f t="shared" si="0"/>
        <v>295.91061797687479</v>
      </c>
      <c r="Z7" s="301"/>
      <c r="AB7" s="519">
        <v>248</v>
      </c>
      <c r="AC7" s="301">
        <v>381.69753864461893</v>
      </c>
      <c r="AD7" s="301">
        <v>106.63034231170087</v>
      </c>
      <c r="AE7" s="301">
        <v>295.91061797687479</v>
      </c>
      <c r="AF7" s="301">
        <v>136.72928289103399</v>
      </c>
      <c r="AG7" s="301"/>
      <c r="AH7" s="301"/>
      <c r="AI7" s="301"/>
      <c r="AK7" s="301">
        <f t="shared" si="1"/>
        <v>248</v>
      </c>
      <c r="AL7" s="301">
        <f t="shared" si="2"/>
        <v>133.69753864461893</v>
      </c>
      <c r="AM7" s="301">
        <f t="shared" si="2"/>
        <v>-275.06719633291806</v>
      </c>
      <c r="AN7" s="301">
        <f t="shared" si="2"/>
        <v>189.28027566517392</v>
      </c>
      <c r="AO7" s="301">
        <f t="shared" si="3"/>
        <v>136.72928289103399</v>
      </c>
      <c r="AP7" s="301"/>
      <c r="AQ7" s="301"/>
      <c r="AR7" s="301"/>
    </row>
    <row r="8" spans="2:45" x14ac:dyDescent="0.25">
      <c r="B8" s="8" t="s">
        <v>151</v>
      </c>
      <c r="C8" s="8"/>
      <c r="D8" s="8"/>
      <c r="E8" s="8"/>
      <c r="F8" s="8"/>
      <c r="G8" s="8"/>
      <c r="H8" s="8"/>
      <c r="I8" s="8"/>
      <c r="J8" s="8"/>
      <c r="K8" s="8"/>
      <c r="L8" s="8"/>
      <c r="M8" s="8"/>
      <c r="N8" s="8"/>
      <c r="O8" s="8"/>
      <c r="P8" s="8"/>
      <c r="Q8" s="8"/>
      <c r="R8" s="8"/>
      <c r="S8" s="8"/>
      <c r="T8" s="303">
        <v>0</v>
      </c>
      <c r="U8" s="302">
        <v>11.37695250924185</v>
      </c>
      <c r="V8" s="302">
        <v>-1.3694810801250001</v>
      </c>
      <c r="W8" s="302">
        <v>46.291997390707003</v>
      </c>
      <c r="X8" s="302">
        <v>189.57882873932098</v>
      </c>
      <c r="Y8" s="302">
        <f t="shared" si="0"/>
        <v>27.856590731157038</v>
      </c>
      <c r="Z8" s="302"/>
      <c r="AB8" s="518">
        <v>11</v>
      </c>
      <c r="AC8" s="302">
        <v>3.2990816563140006</v>
      </c>
      <c r="AD8" s="302">
        <v>7.6506674525420006</v>
      </c>
      <c r="AE8" s="302">
        <v>27.856590731157038</v>
      </c>
      <c r="AF8" s="302">
        <v>15.277897960826998</v>
      </c>
      <c r="AG8" s="302"/>
      <c r="AH8" s="302"/>
      <c r="AI8" s="302"/>
      <c r="AK8" s="302">
        <f t="shared" si="1"/>
        <v>11</v>
      </c>
      <c r="AL8" s="302">
        <f t="shared" si="2"/>
        <v>-7.7009183436859994</v>
      </c>
      <c r="AM8" s="302">
        <f t="shared" si="2"/>
        <v>4.351585796228</v>
      </c>
      <c r="AN8" s="302">
        <f t="shared" si="2"/>
        <v>20.205923278615039</v>
      </c>
      <c r="AO8" s="302">
        <f t="shared" si="3"/>
        <v>15.277897960826998</v>
      </c>
      <c r="AP8" s="302"/>
      <c r="AQ8" s="302"/>
      <c r="AR8" s="302"/>
    </row>
    <row r="9" spans="2:45" x14ac:dyDescent="0.25">
      <c r="B9" s="137" t="s">
        <v>72</v>
      </c>
      <c r="C9" s="137"/>
      <c r="D9" s="137"/>
      <c r="E9" s="137"/>
      <c r="F9" s="137"/>
      <c r="G9" s="137"/>
      <c r="H9" s="137"/>
      <c r="I9" s="137"/>
      <c r="J9" s="137"/>
      <c r="K9" s="137"/>
      <c r="L9" s="137"/>
      <c r="M9" s="137"/>
      <c r="N9" s="137"/>
      <c r="O9" s="137"/>
      <c r="P9" s="137"/>
      <c r="Q9" s="137"/>
      <c r="R9" s="137"/>
      <c r="S9" s="137"/>
      <c r="T9" s="301">
        <v>2508.8918557380612</v>
      </c>
      <c r="U9" s="301">
        <v>2776.9297831066037</v>
      </c>
      <c r="V9" s="301">
        <v>3088.9923197362546</v>
      </c>
      <c r="W9" s="301">
        <v>2416.0892459815182</v>
      </c>
      <c r="X9" s="301">
        <v>3014.4803036552053</v>
      </c>
      <c r="Y9" s="301">
        <f t="shared" si="0"/>
        <v>3551.8221490212582</v>
      </c>
      <c r="Z9" s="301"/>
      <c r="AA9" s="333"/>
      <c r="AB9" s="517">
        <v>1052</v>
      </c>
      <c r="AC9" s="301">
        <v>1731.4479544378792</v>
      </c>
      <c r="AD9" s="301">
        <v>2697.4416757890576</v>
      </c>
      <c r="AE9" s="301">
        <v>3551.8221490212582</v>
      </c>
      <c r="AF9" s="301">
        <v>865.01919163333719</v>
      </c>
      <c r="AG9" s="301"/>
      <c r="AH9" s="301"/>
      <c r="AI9" s="301"/>
      <c r="AJ9" s="333"/>
      <c r="AK9" s="301">
        <f t="shared" si="1"/>
        <v>1052</v>
      </c>
      <c r="AL9" s="301">
        <f t="shared" si="2"/>
        <v>679.44795443787916</v>
      </c>
      <c r="AM9" s="301">
        <f t="shared" si="2"/>
        <v>965.99372135117846</v>
      </c>
      <c r="AN9" s="301">
        <f t="shared" si="2"/>
        <v>854.38047323220053</v>
      </c>
      <c r="AO9" s="301">
        <f t="shared" si="3"/>
        <v>865.01919163333719</v>
      </c>
      <c r="AP9" s="301"/>
      <c r="AQ9" s="301"/>
      <c r="AR9" s="301"/>
      <c r="AS9" s="333"/>
    </row>
    <row r="10" spans="2:45" x14ac:dyDescent="0.25">
      <c r="B10" s="210" t="s">
        <v>297</v>
      </c>
      <c r="C10" s="143"/>
      <c r="D10" s="143"/>
      <c r="E10" s="143"/>
      <c r="F10" s="143"/>
      <c r="G10" s="143"/>
      <c r="H10" s="143"/>
      <c r="I10" s="143"/>
      <c r="J10" s="143"/>
      <c r="K10" s="143"/>
      <c r="L10" s="143"/>
      <c r="M10" s="143"/>
      <c r="N10" s="143"/>
      <c r="O10" s="143"/>
      <c r="P10" s="143"/>
      <c r="Q10" s="143"/>
      <c r="R10" s="143"/>
      <c r="S10" s="143"/>
      <c r="T10" s="310">
        <f>EDPR!T15</f>
        <v>1299.9100000000001</v>
      </c>
      <c r="U10" s="310">
        <f>EDPR!U15</f>
        <v>1651.42</v>
      </c>
      <c r="V10" s="310">
        <f>EDPR!V15</f>
        <v>1654.73</v>
      </c>
      <c r="W10" s="310">
        <f>EDPR!W15</f>
        <v>1760.04</v>
      </c>
      <c r="X10" s="310">
        <v>2157.2075855805233</v>
      </c>
      <c r="Y10" s="310">
        <f t="shared" si="0"/>
        <v>1834.671284905507</v>
      </c>
      <c r="Z10" s="310"/>
      <c r="AA10" s="478"/>
      <c r="AB10" s="518">
        <v>448</v>
      </c>
      <c r="AC10" s="310">
        <v>754.10905707171116</v>
      </c>
      <c r="AD10" s="310">
        <v>1426.5471261984594</v>
      </c>
      <c r="AE10" s="310">
        <v>1834.671284905507</v>
      </c>
      <c r="AF10" s="310">
        <v>453.76879054719228</v>
      </c>
      <c r="AG10" s="310"/>
      <c r="AH10" s="310"/>
      <c r="AI10" s="310"/>
      <c r="AJ10" s="478"/>
      <c r="AK10" s="310">
        <f t="shared" si="1"/>
        <v>448</v>
      </c>
      <c r="AL10" s="310">
        <f t="shared" si="2"/>
        <v>306.10905707171116</v>
      </c>
      <c r="AM10" s="310">
        <f t="shared" si="2"/>
        <v>672.43806912674825</v>
      </c>
      <c r="AN10" s="310">
        <f t="shared" si="2"/>
        <v>408.12415870704763</v>
      </c>
      <c r="AO10" s="310">
        <f t="shared" si="3"/>
        <v>453.76879054719228</v>
      </c>
      <c r="AP10" s="301"/>
      <c r="AQ10" s="301"/>
      <c r="AR10" s="301"/>
      <c r="AS10" s="333"/>
    </row>
    <row r="11" spans="2:45" x14ac:dyDescent="0.25">
      <c r="B11" s="210" t="s">
        <v>304</v>
      </c>
      <c r="C11" s="143"/>
      <c r="D11" s="143"/>
      <c r="E11" s="143"/>
      <c r="F11" s="143"/>
      <c r="G11" s="143"/>
      <c r="H11" s="143"/>
      <c r="I11" s="143"/>
      <c r="J11" s="143"/>
      <c r="K11" s="143"/>
      <c r="L11" s="143"/>
      <c r="M11" s="143"/>
      <c r="N11" s="143"/>
      <c r="O11" s="143"/>
      <c r="P11" s="143"/>
      <c r="Q11" s="143"/>
      <c r="R11" s="143"/>
      <c r="S11" s="143"/>
      <c r="T11" s="480">
        <v>761.79452359108598</v>
      </c>
      <c r="U11" s="480">
        <v>804.50946744927114</v>
      </c>
      <c r="V11" s="480">
        <v>1109.0688293032135</v>
      </c>
      <c r="W11" s="480">
        <v>385.98024176248748</v>
      </c>
      <c r="X11" s="480">
        <v>523.07943020165271</v>
      </c>
      <c r="Y11" s="310">
        <f t="shared" si="0"/>
        <v>1479.946135127667</v>
      </c>
      <c r="Z11" s="310"/>
      <c r="AA11" s="478"/>
      <c r="AB11" s="518">
        <v>527</v>
      </c>
      <c r="AC11" s="480">
        <v>822.21488262176024</v>
      </c>
      <c r="AD11" s="480">
        <v>1029.6045514376169</v>
      </c>
      <c r="AE11" s="480">
        <v>1479.946135127667</v>
      </c>
      <c r="AF11" s="480">
        <v>361.09294745436495</v>
      </c>
      <c r="AG11" s="480"/>
      <c r="AH11" s="480"/>
      <c r="AI11" s="480"/>
      <c r="AJ11" s="478"/>
      <c r="AK11" s="480">
        <f t="shared" si="1"/>
        <v>527</v>
      </c>
      <c r="AL11" s="480">
        <f t="shared" si="2"/>
        <v>295.21488262176024</v>
      </c>
      <c r="AM11" s="480">
        <f t="shared" si="2"/>
        <v>207.38966881585668</v>
      </c>
      <c r="AN11" s="480">
        <f t="shared" si="2"/>
        <v>450.34158369005013</v>
      </c>
      <c r="AO11" s="480">
        <f t="shared" si="3"/>
        <v>361.09294745436495</v>
      </c>
      <c r="AP11" s="477"/>
      <c r="AQ11" s="477"/>
      <c r="AR11" s="477"/>
      <c r="AS11" s="333"/>
    </row>
    <row r="12" spans="2:45" x14ac:dyDescent="0.25">
      <c r="B12" s="210" t="s">
        <v>305</v>
      </c>
      <c r="C12" s="143"/>
      <c r="D12" s="143"/>
      <c r="E12" s="143"/>
      <c r="F12" s="143"/>
      <c r="G12" s="143"/>
      <c r="H12" s="143"/>
      <c r="I12" s="143"/>
      <c r="J12" s="143"/>
      <c r="K12" s="143"/>
      <c r="L12" s="143"/>
      <c r="M12" s="143"/>
      <c r="N12" s="143"/>
      <c r="O12" s="143"/>
      <c r="P12" s="143"/>
      <c r="Q12" s="143"/>
      <c r="R12" s="143"/>
      <c r="S12" s="143"/>
      <c r="T12" s="480">
        <v>447.59957692945386</v>
      </c>
      <c r="U12" s="480">
        <v>321.04154549916609</v>
      </c>
      <c r="V12" s="480">
        <v>325.51606635581311</v>
      </c>
      <c r="W12" s="480">
        <v>274.35065955936216</v>
      </c>
      <c r="X12" s="480">
        <v>333.15170424302551</v>
      </c>
      <c r="Y12" s="310">
        <f t="shared" si="0"/>
        <v>238.129645291381</v>
      </c>
      <c r="Z12" s="310"/>
      <c r="AA12" s="478"/>
      <c r="AB12" s="518">
        <v>78</v>
      </c>
      <c r="AC12" s="480">
        <v>157.62373590467001</v>
      </c>
      <c r="AD12" s="480">
        <v>243.32536262771791</v>
      </c>
      <c r="AE12" s="480">
        <v>238.129645291381</v>
      </c>
      <c r="AF12" s="480">
        <v>53.523690021662944</v>
      </c>
      <c r="AG12" s="480"/>
      <c r="AH12" s="480"/>
      <c r="AI12" s="480"/>
      <c r="AJ12" s="478"/>
      <c r="AK12" s="480">
        <f t="shared" ref="AK12" si="4">AB12</f>
        <v>78</v>
      </c>
      <c r="AL12" s="480">
        <f t="shared" si="2"/>
        <v>79.623735904670013</v>
      </c>
      <c r="AM12" s="480">
        <f t="shared" si="2"/>
        <v>85.701626723047895</v>
      </c>
      <c r="AN12" s="480">
        <f t="shared" si="2"/>
        <v>-5.1957173363369122</v>
      </c>
      <c r="AO12" s="480">
        <f t="shared" si="3"/>
        <v>53.523690021662944</v>
      </c>
      <c r="AP12" s="477"/>
      <c r="AQ12" s="477"/>
      <c r="AR12" s="477"/>
      <c r="AS12" s="333"/>
    </row>
    <row r="13" spans="2:45" x14ac:dyDescent="0.25">
      <c r="B13" s="138" t="s">
        <v>424</v>
      </c>
      <c r="C13" s="138"/>
      <c r="D13" s="138"/>
      <c r="E13" s="138"/>
      <c r="F13" s="138"/>
      <c r="G13" s="138"/>
      <c r="H13" s="138"/>
      <c r="I13" s="138"/>
      <c r="J13" s="138"/>
      <c r="K13" s="138"/>
      <c r="L13" s="138"/>
      <c r="M13" s="138"/>
      <c r="N13" s="138"/>
      <c r="O13" s="138"/>
      <c r="P13" s="138"/>
      <c r="Q13" s="138"/>
      <c r="R13" s="138"/>
      <c r="S13" s="138"/>
      <c r="T13" s="302">
        <v>978.81525546209286</v>
      </c>
      <c r="U13" s="302">
        <v>897.77282478905863</v>
      </c>
      <c r="V13" s="302">
        <v>901.04692089974014</v>
      </c>
      <c r="W13" s="302">
        <v>837.24544184482193</v>
      </c>
      <c r="X13" s="302">
        <v>928.89922754186489</v>
      </c>
      <c r="Y13" s="302">
        <f t="shared" si="0"/>
        <v>1159.091098552617</v>
      </c>
      <c r="Z13" s="302"/>
      <c r="AA13" s="333"/>
      <c r="AB13" s="518">
        <v>226</v>
      </c>
      <c r="AC13" s="302">
        <v>473.03559242303101</v>
      </c>
      <c r="AD13" s="302">
        <v>702.67532342263291</v>
      </c>
      <c r="AE13" s="302">
        <v>1159.091098552617</v>
      </c>
      <c r="AF13" s="302">
        <v>236.67001345447494</v>
      </c>
      <c r="AG13" s="302"/>
      <c r="AH13" s="302"/>
      <c r="AI13" s="302"/>
      <c r="AK13" s="302">
        <f t="shared" si="1"/>
        <v>226</v>
      </c>
      <c r="AL13" s="302">
        <f t="shared" si="2"/>
        <v>247.03559242303101</v>
      </c>
      <c r="AM13" s="302">
        <f t="shared" si="2"/>
        <v>229.63973099960191</v>
      </c>
      <c r="AN13" s="302">
        <f t="shared" si="2"/>
        <v>456.41577512998413</v>
      </c>
      <c r="AO13" s="302">
        <f t="shared" si="3"/>
        <v>236.67001345447494</v>
      </c>
      <c r="AP13" s="302"/>
      <c r="AQ13" s="302"/>
      <c r="AR13" s="302"/>
    </row>
    <row r="14" spans="2:45" x14ac:dyDescent="0.25">
      <c r="B14" s="137" t="s">
        <v>77</v>
      </c>
      <c r="C14" s="137"/>
      <c r="D14" s="137"/>
      <c r="E14" s="137"/>
      <c r="F14" s="137"/>
      <c r="G14" s="137"/>
      <c r="H14" s="137"/>
      <c r="I14" s="137"/>
      <c r="J14" s="137"/>
      <c r="K14" s="137"/>
      <c r="L14" s="137"/>
      <c r="M14" s="137"/>
      <c r="N14" s="137"/>
      <c r="O14" s="137"/>
      <c r="P14" s="137"/>
      <c r="Q14" s="137"/>
      <c r="R14" s="137"/>
      <c r="S14" s="137"/>
      <c r="T14" s="301">
        <v>1217.8061223069712</v>
      </c>
      <c r="U14" s="301">
        <v>1399.2667109392507</v>
      </c>
      <c r="V14" s="301">
        <v>1711.8767851744383</v>
      </c>
      <c r="W14" s="301">
        <v>1456.5612983762037</v>
      </c>
      <c r="X14" s="301">
        <v>1598.685013517844</v>
      </c>
      <c r="Y14" s="301">
        <f t="shared" si="0"/>
        <v>1752.2481703755675</v>
      </c>
      <c r="Z14" s="301"/>
      <c r="AB14" s="519">
        <v>577</v>
      </c>
      <c r="AC14" s="301">
        <v>953.0995355507481</v>
      </c>
      <c r="AD14" s="301">
        <v>1730.0719137000374</v>
      </c>
      <c r="AE14" s="301">
        <v>1752.2481703755675</v>
      </c>
      <c r="AF14" s="301">
        <v>506.92772112660765</v>
      </c>
      <c r="AG14" s="301"/>
      <c r="AH14" s="301"/>
      <c r="AI14" s="301"/>
      <c r="AK14" s="301">
        <f t="shared" si="1"/>
        <v>577</v>
      </c>
      <c r="AL14" s="301">
        <f t="shared" si="2"/>
        <v>376.0995355507481</v>
      </c>
      <c r="AM14" s="301">
        <f t="shared" si="2"/>
        <v>776.97237814928928</v>
      </c>
      <c r="AN14" s="301">
        <f t="shared" si="2"/>
        <v>22.176256675530112</v>
      </c>
      <c r="AO14" s="301">
        <f t="shared" si="3"/>
        <v>506.92772112660765</v>
      </c>
      <c r="AP14" s="301"/>
      <c r="AQ14" s="301"/>
      <c r="AR14" s="301"/>
    </row>
    <row r="15" spans="2:45" x14ac:dyDescent="0.25">
      <c r="B15" s="34"/>
      <c r="C15" s="34"/>
      <c r="D15" s="34"/>
      <c r="E15" s="34"/>
      <c r="F15" s="34"/>
      <c r="G15" s="34"/>
      <c r="H15" s="34"/>
      <c r="I15" s="34"/>
      <c r="J15" s="34"/>
      <c r="K15" s="34"/>
      <c r="L15" s="34"/>
      <c r="M15" s="34"/>
      <c r="N15" s="34"/>
      <c r="O15" s="34"/>
      <c r="P15" s="34"/>
      <c r="Q15" s="34"/>
      <c r="R15" s="34"/>
      <c r="S15" s="34"/>
      <c r="U15" s="253">
        <f>+U9-U10</f>
        <v>1125.5097831066037</v>
      </c>
      <c r="V15" s="253">
        <f>+V9-V10</f>
        <v>1434.2623197362545</v>
      </c>
      <c r="W15" s="253">
        <f>+W9-W10</f>
        <v>656.0492459815182</v>
      </c>
      <c r="X15" s="253"/>
    </row>
    <row r="16" spans="2:45" x14ac:dyDescent="0.25">
      <c r="B16" s="10"/>
      <c r="C16" s="10"/>
      <c r="D16" s="10"/>
      <c r="E16" s="10"/>
      <c r="F16" s="10"/>
      <c r="G16" s="10"/>
      <c r="H16" s="10"/>
      <c r="I16" s="10"/>
      <c r="J16" s="10"/>
      <c r="K16" s="10"/>
      <c r="L16" s="10"/>
      <c r="M16" s="10"/>
      <c r="N16" s="10"/>
      <c r="O16" s="10"/>
      <c r="P16" s="10"/>
      <c r="Q16" s="10"/>
      <c r="R16" s="10"/>
      <c r="S16" s="10"/>
    </row>
    <row r="17" spans="2:44" x14ac:dyDescent="0.25">
      <c r="B17" s="164" t="s">
        <v>425</v>
      </c>
      <c r="C17" s="164"/>
      <c r="D17" s="164"/>
      <c r="E17" s="164"/>
      <c r="F17" s="164"/>
      <c r="G17" s="164"/>
      <c r="H17" s="164"/>
      <c r="I17" s="164"/>
      <c r="J17" s="164"/>
      <c r="K17" s="164"/>
      <c r="L17" s="164"/>
      <c r="M17" s="164"/>
      <c r="N17" s="164"/>
      <c r="O17" s="164"/>
      <c r="P17" s="164"/>
      <c r="Q17" s="164"/>
      <c r="R17" s="164"/>
      <c r="S17" s="164"/>
      <c r="T17" s="228">
        <v>2018</v>
      </c>
      <c r="U17" s="228">
        <v>2019</v>
      </c>
      <c r="V17" s="228">
        <v>2020</v>
      </c>
      <c r="W17" s="228">
        <v>2021</v>
      </c>
      <c r="X17" s="228">
        <v>2022</v>
      </c>
      <c r="Y17" s="229">
        <v>2023</v>
      </c>
      <c r="Z17" s="230">
        <v>2024</v>
      </c>
      <c r="AB17" s="231" t="s">
        <v>291</v>
      </c>
      <c r="AC17" s="231" t="s">
        <v>292</v>
      </c>
      <c r="AD17" s="231" t="s">
        <v>293</v>
      </c>
      <c r="AE17" s="231">
        <v>2023</v>
      </c>
      <c r="AF17" s="232" t="s">
        <v>318</v>
      </c>
      <c r="AG17" s="232" t="s">
        <v>319</v>
      </c>
      <c r="AH17" s="232" t="s">
        <v>320</v>
      </c>
      <c r="AI17" s="232">
        <v>2024</v>
      </c>
      <c r="AK17" s="227"/>
      <c r="AL17" s="227"/>
      <c r="AM17" s="227"/>
      <c r="AN17" s="227"/>
    </row>
    <row r="18" spans="2:44" x14ac:dyDescent="0.25">
      <c r="B18" t="s">
        <v>426</v>
      </c>
      <c r="T18" s="304">
        <v>-0.06</v>
      </c>
      <c r="U18" s="305">
        <v>-3.354218179935009E-2</v>
      </c>
      <c r="V18" s="305">
        <v>-4.2502189957608905E-2</v>
      </c>
      <c r="W18" s="305">
        <v>-4.366837583238381E-2</v>
      </c>
      <c r="X18" s="305">
        <v>-1.8200731023940264E-2</v>
      </c>
      <c r="Y18" s="305">
        <f>AE18</f>
        <v>-5.7685805908180732E-2</v>
      </c>
      <c r="Z18" s="305"/>
      <c r="AB18" s="305">
        <v>-1.5739064359740595E-2</v>
      </c>
      <c r="AC18" s="305">
        <v>-4.7687321330561305E-2</v>
      </c>
      <c r="AD18" s="305">
        <v>-5.632139225985755E-2</v>
      </c>
      <c r="AE18" s="305">
        <v>-5.7685805908180732E-2</v>
      </c>
      <c r="AF18" s="305">
        <v>-1.8154146053718789E-2</v>
      </c>
      <c r="AG18" s="305"/>
      <c r="AH18" s="305"/>
      <c r="AI18" s="305"/>
      <c r="AL18" s="253"/>
      <c r="AM18" s="253"/>
    </row>
    <row r="19" spans="2:44" x14ac:dyDescent="0.25">
      <c r="B19" s="14" t="s">
        <v>427</v>
      </c>
      <c r="C19" s="14"/>
      <c r="D19" s="14"/>
      <c r="E19" s="14"/>
      <c r="F19" s="14"/>
      <c r="G19" s="14"/>
      <c r="H19" s="14"/>
      <c r="I19" s="14"/>
      <c r="J19" s="14"/>
      <c r="K19" s="14"/>
      <c r="L19" s="14"/>
      <c r="M19" s="14"/>
      <c r="N19" s="14"/>
      <c r="O19" s="14"/>
      <c r="P19" s="14"/>
      <c r="Q19" s="14"/>
      <c r="R19" s="14"/>
      <c r="S19" s="14"/>
      <c r="T19" s="306">
        <v>28358.961281035394</v>
      </c>
      <c r="U19" s="306">
        <v>30040.513097169289</v>
      </c>
      <c r="V19" s="306">
        <v>28537.99828036</v>
      </c>
      <c r="W19" s="306">
        <v>30324.49364425</v>
      </c>
      <c r="X19" s="306">
        <v>33400.980454157994</v>
      </c>
      <c r="Y19" s="306">
        <f>AE19</f>
        <v>34593.787845107006</v>
      </c>
      <c r="Z19" s="306"/>
      <c r="AB19" s="306">
        <v>10248.064156875002</v>
      </c>
      <c r="AC19" s="306">
        <v>17985.685968400001</v>
      </c>
      <c r="AD19" s="306">
        <v>25186.286339396996</v>
      </c>
      <c r="AE19" s="306">
        <v>34593.787845107006</v>
      </c>
      <c r="AF19" s="306">
        <v>9922.092700444</v>
      </c>
      <c r="AG19" s="306"/>
      <c r="AH19" s="306"/>
      <c r="AI19" s="306"/>
      <c r="AL19" s="253"/>
      <c r="AM19" s="253"/>
    </row>
    <row r="20" spans="2:44" x14ac:dyDescent="0.25">
      <c r="B20" s="14" t="s">
        <v>428</v>
      </c>
      <c r="C20" s="14"/>
      <c r="D20" s="14"/>
      <c r="E20" s="14"/>
      <c r="F20" s="14"/>
      <c r="G20" s="14"/>
      <c r="H20" s="14"/>
      <c r="I20" s="14"/>
      <c r="J20" s="14"/>
      <c r="K20" s="14"/>
      <c r="L20" s="14"/>
      <c r="M20" s="14"/>
      <c r="N20" s="14"/>
      <c r="O20" s="14"/>
      <c r="P20" s="14"/>
      <c r="Q20" s="14"/>
      <c r="R20" s="14"/>
      <c r="S20" s="14"/>
      <c r="T20" s="307">
        <v>54</v>
      </c>
      <c r="U20" s="306">
        <v>54.65798392</v>
      </c>
      <c r="V20" s="306">
        <v>53.222894307440811</v>
      </c>
      <c r="W20" s="306">
        <v>53.630381039327816</v>
      </c>
      <c r="X20" s="306">
        <v>64.672862507386711</v>
      </c>
      <c r="Y20" s="306">
        <f>AE20</f>
        <v>61.071329008725101</v>
      </c>
      <c r="Z20" s="306"/>
      <c r="AB20" s="306">
        <v>62.521854541554532</v>
      </c>
      <c r="AC20" s="306">
        <v>59.737889239727771</v>
      </c>
      <c r="AD20" s="306">
        <v>61.748863920535015</v>
      </c>
      <c r="AE20" s="306">
        <v>61.071329008725101</v>
      </c>
      <c r="AF20" s="306">
        <v>60.558774504560795</v>
      </c>
      <c r="AG20" s="306"/>
      <c r="AH20" s="306"/>
      <c r="AI20" s="306"/>
      <c r="AL20" s="253"/>
      <c r="AM20" s="253"/>
    </row>
    <row r="21" spans="2:44" x14ac:dyDescent="0.25">
      <c r="B21" s="14"/>
      <c r="C21" s="14"/>
      <c r="D21" s="14"/>
      <c r="E21" s="14"/>
      <c r="F21" s="14"/>
      <c r="G21" s="14"/>
      <c r="H21" s="14"/>
      <c r="I21" s="14"/>
      <c r="J21" s="14"/>
      <c r="K21" s="14"/>
      <c r="L21" s="14"/>
      <c r="M21" s="14"/>
      <c r="N21" s="14"/>
      <c r="O21" s="14"/>
      <c r="P21" s="14"/>
      <c r="Q21" s="14"/>
      <c r="R21" s="14"/>
      <c r="S21" s="14"/>
    </row>
    <row r="22" spans="2:44" x14ac:dyDescent="0.25">
      <c r="B22" s="164" t="s">
        <v>299</v>
      </c>
      <c r="C22" s="164"/>
      <c r="D22" s="164"/>
      <c r="E22" s="164"/>
      <c r="F22" s="164"/>
      <c r="G22" s="164"/>
      <c r="H22" s="164"/>
      <c r="I22" s="164"/>
      <c r="J22" s="164"/>
      <c r="K22" s="164"/>
      <c r="L22" s="228">
        <v>2010</v>
      </c>
      <c r="M22" s="228">
        <v>2011</v>
      </c>
      <c r="N22" s="228">
        <v>2012</v>
      </c>
      <c r="O22" s="228">
        <v>2013</v>
      </c>
      <c r="P22" s="228">
        <v>2014</v>
      </c>
      <c r="Q22" s="228">
        <v>2015</v>
      </c>
      <c r="R22" s="228">
        <v>2016</v>
      </c>
      <c r="S22" s="228">
        <v>2017</v>
      </c>
      <c r="T22" s="228">
        <v>2018</v>
      </c>
      <c r="U22" s="228">
        <v>2019</v>
      </c>
      <c r="V22" s="228">
        <v>2020</v>
      </c>
      <c r="W22" s="228">
        <v>2021</v>
      </c>
      <c r="X22" s="228">
        <v>2022</v>
      </c>
      <c r="Y22" s="229">
        <v>2023</v>
      </c>
      <c r="Z22" s="230">
        <v>2024</v>
      </c>
      <c r="AA22" s="333"/>
      <c r="AB22" s="231" t="s">
        <v>291</v>
      </c>
      <c r="AC22" s="231" t="s">
        <v>292</v>
      </c>
      <c r="AD22" s="231" t="s">
        <v>293</v>
      </c>
      <c r="AE22" s="231">
        <v>2023</v>
      </c>
      <c r="AF22" s="232" t="s">
        <v>318</v>
      </c>
      <c r="AG22" s="232" t="s">
        <v>319</v>
      </c>
      <c r="AH22" s="232" t="s">
        <v>320</v>
      </c>
      <c r="AI22" s="232">
        <v>2024</v>
      </c>
      <c r="AK22" s="227"/>
      <c r="AL22" s="227"/>
      <c r="AM22" s="342"/>
      <c r="AN22" s="342"/>
      <c r="AO22" s="342"/>
      <c r="AP22" s="342"/>
      <c r="AQ22" s="342"/>
      <c r="AR22" s="342"/>
    </row>
    <row r="23" spans="2:44" x14ac:dyDescent="0.25">
      <c r="B23" s="125" t="s">
        <v>94</v>
      </c>
      <c r="C23" s="125"/>
      <c r="D23" s="125"/>
      <c r="E23" s="125"/>
      <c r="F23" s="125"/>
      <c r="G23" s="125"/>
      <c r="H23" s="125"/>
      <c r="I23" s="125"/>
      <c r="J23" s="125"/>
      <c r="K23" s="125"/>
      <c r="L23" s="341" t="e">
        <f>+L25+L37</f>
        <v>#REF!</v>
      </c>
      <c r="M23" s="341" t="e">
        <f t="shared" ref="M23:S23" si="5">+M25+M37</f>
        <v>#REF!</v>
      </c>
      <c r="N23" s="341" t="e">
        <f t="shared" si="5"/>
        <v>#REF!</v>
      </c>
      <c r="O23" s="341" t="e">
        <f t="shared" si="5"/>
        <v>#REF!</v>
      </c>
      <c r="P23" s="341" t="e">
        <f t="shared" si="5"/>
        <v>#REF!</v>
      </c>
      <c r="Q23" s="341" t="e">
        <f t="shared" si="5"/>
        <v>#REF!</v>
      </c>
      <c r="R23" s="341" t="e">
        <f t="shared" si="5"/>
        <v>#REF!</v>
      </c>
      <c r="S23" s="341" t="e">
        <f t="shared" si="5"/>
        <v>#REF!</v>
      </c>
      <c r="T23" s="341">
        <f>+T25+T37</f>
        <v>9331.6633333299997</v>
      </c>
      <c r="U23" s="341">
        <f t="shared" ref="U23:X23" si="6">+U25+U37</f>
        <v>9336.0949999999993</v>
      </c>
      <c r="V23" s="341">
        <f t="shared" si="6"/>
        <v>7677.45</v>
      </c>
      <c r="W23" s="341">
        <f>+W25+W37</f>
        <v>7677.9598960000003</v>
      </c>
      <c r="X23" s="341">
        <f t="shared" si="6"/>
        <v>7677.9598960000003</v>
      </c>
      <c r="Y23" s="341">
        <f t="shared" ref="Y23" si="7">+Y25+Y37</f>
        <v>7472.2498960000003</v>
      </c>
      <c r="Z23" s="341"/>
      <c r="AA23" s="333"/>
      <c r="AB23" s="341">
        <f t="shared" ref="AB23" si="8">+AB25+AB37</f>
        <v>7472.2498960000003</v>
      </c>
      <c r="AC23" s="341">
        <f>+AC25+AC37</f>
        <v>7472.2498960000003</v>
      </c>
      <c r="AD23" s="341">
        <f>+AD25+AD37</f>
        <v>7472.2498960000003</v>
      </c>
      <c r="AE23" s="341">
        <f>+AE25+AE37</f>
        <v>7472.2498960000003</v>
      </c>
      <c r="AF23" s="341">
        <f>+AF25+AF37</f>
        <v>7472.2498960000003</v>
      </c>
      <c r="AG23" s="341"/>
      <c r="AH23" s="341"/>
      <c r="AI23" s="341"/>
      <c r="AK23" s="301"/>
      <c r="AL23" s="301"/>
      <c r="AM23" s="301"/>
      <c r="AN23" s="301"/>
      <c r="AO23" s="301"/>
      <c r="AP23" s="301"/>
      <c r="AQ23" s="301"/>
      <c r="AR23" s="301"/>
    </row>
    <row r="24" spans="2:44" x14ac:dyDescent="0.25">
      <c r="B24" s="125"/>
      <c r="C24" s="125"/>
      <c r="D24" s="125"/>
      <c r="E24" s="125"/>
      <c r="F24" s="125"/>
      <c r="G24" s="125"/>
      <c r="H24" s="125"/>
      <c r="I24" s="125"/>
      <c r="J24" s="125"/>
      <c r="K24" s="125"/>
      <c r="L24" s="343"/>
      <c r="M24" s="343"/>
      <c r="N24" s="343"/>
      <c r="O24" s="343"/>
      <c r="P24" s="343"/>
      <c r="Q24" s="343"/>
      <c r="R24" s="343"/>
      <c r="S24" s="343"/>
      <c r="T24" s="343"/>
      <c r="U24" s="343"/>
      <c r="V24" s="341"/>
      <c r="W24" s="341"/>
      <c r="X24" s="341"/>
      <c r="Y24" s="341"/>
      <c r="Z24" s="341"/>
      <c r="AA24" s="333"/>
      <c r="AB24" s="341"/>
      <c r="AC24" s="341"/>
      <c r="AD24" s="341"/>
      <c r="AE24" s="341"/>
      <c r="AF24" s="341"/>
      <c r="AG24" s="341"/>
      <c r="AH24" s="341"/>
      <c r="AI24" s="341"/>
      <c r="AK24" s="301"/>
      <c r="AL24" s="301"/>
      <c r="AM24" s="301"/>
      <c r="AN24" s="301"/>
      <c r="AO24" s="301"/>
      <c r="AP24" s="301"/>
      <c r="AQ24" s="301"/>
      <c r="AR24" s="301"/>
    </row>
    <row r="25" spans="2:44" x14ac:dyDescent="0.25">
      <c r="B25" s="125" t="s">
        <v>95</v>
      </c>
      <c r="C25" s="125"/>
      <c r="D25" s="125"/>
      <c r="E25" s="125"/>
      <c r="F25" s="125"/>
      <c r="G25" s="125"/>
      <c r="H25" s="125"/>
      <c r="I25" s="125"/>
      <c r="J25" s="125"/>
      <c r="K25" s="125"/>
      <c r="L25" s="313">
        <f>+L26+L31+L32</f>
        <v>6898.875</v>
      </c>
      <c r="M25" s="313">
        <f t="shared" ref="M25:S25" si="9">+M26+M31+M32</f>
        <v>7391.125</v>
      </c>
      <c r="N25" s="313">
        <f t="shared" si="9"/>
        <v>7649.43</v>
      </c>
      <c r="O25" s="313">
        <f t="shared" si="9"/>
        <v>7650.866</v>
      </c>
      <c r="P25" s="313">
        <f t="shared" si="9"/>
        <v>7666.4660000000003</v>
      </c>
      <c r="Q25" s="313">
        <f t="shared" si="9"/>
        <v>7779</v>
      </c>
      <c r="R25" s="313">
        <f t="shared" si="9"/>
        <v>8106</v>
      </c>
      <c r="S25" s="313">
        <f t="shared" si="9"/>
        <v>9019</v>
      </c>
      <c r="T25" s="313">
        <f>+T26+T31+T32</f>
        <v>8792.3549999999996</v>
      </c>
      <c r="U25" s="313">
        <f t="shared" ref="U25:X25" si="10">+U26+U31+U32</f>
        <v>8784.84</v>
      </c>
      <c r="V25" s="313">
        <f t="shared" si="10"/>
        <v>7126.45</v>
      </c>
      <c r="W25" s="313">
        <f t="shared" si="10"/>
        <v>7126.6999900000001</v>
      </c>
      <c r="X25" s="313">
        <f t="shared" si="10"/>
        <v>7126.6999900000001</v>
      </c>
      <c r="Y25" s="313">
        <f t="shared" ref="Y25" si="11">+Y26+Y31+Y32</f>
        <v>6920.98999</v>
      </c>
      <c r="Z25" s="313"/>
      <c r="AA25" s="333"/>
      <c r="AB25" s="313">
        <f t="shared" ref="AB25" si="12">+AB26+AB31+AB32</f>
        <v>6920.98999</v>
      </c>
      <c r="AC25" s="313">
        <f t="shared" ref="AC25:AD25" si="13">+AC26+AC31+AC32</f>
        <v>6920.98999</v>
      </c>
      <c r="AD25" s="313">
        <f t="shared" si="13"/>
        <v>6920.98999</v>
      </c>
      <c r="AE25" s="313">
        <f t="shared" ref="AE25:AF25" si="14">+AE26+AE31+AE32</f>
        <v>6920.98999</v>
      </c>
      <c r="AF25" s="313">
        <f t="shared" si="14"/>
        <v>6920.98999</v>
      </c>
      <c r="AG25" s="313"/>
      <c r="AH25" s="313"/>
      <c r="AI25" s="313"/>
      <c r="AK25" s="313"/>
      <c r="AL25" s="313"/>
      <c r="AM25" s="313"/>
      <c r="AN25" s="313"/>
      <c r="AO25" s="313"/>
      <c r="AP25" s="313"/>
      <c r="AQ25" s="313"/>
      <c r="AR25" s="313"/>
    </row>
    <row r="26" spans="2:44" x14ac:dyDescent="0.25">
      <c r="B26" s="109" t="s">
        <v>51</v>
      </c>
      <c r="C26" s="109"/>
      <c r="D26" s="109"/>
      <c r="E26" s="109"/>
      <c r="F26" s="109"/>
      <c r="G26" s="109"/>
      <c r="H26" s="109"/>
      <c r="I26" s="109"/>
      <c r="J26" s="109"/>
      <c r="K26" s="109"/>
      <c r="L26" s="344">
        <f>'Operating Data'!L23</f>
        <v>4737.5860000000002</v>
      </c>
      <c r="M26" s="344">
        <f>'Operating Data'!M23</f>
        <v>5174.5860000000002</v>
      </c>
      <c r="N26" s="344">
        <f>'Operating Data'!N23</f>
        <v>5428.9860000000008</v>
      </c>
      <c r="O26" s="344">
        <f>'Operating Data'!O23</f>
        <v>5427.5859999999993</v>
      </c>
      <c r="P26" s="344">
        <f>'Operating Data'!P23</f>
        <v>5443.1859999999997</v>
      </c>
      <c r="Q26" s="344">
        <f>'Operating Data'!Q23</f>
        <v>5555</v>
      </c>
      <c r="R26" s="345">
        <f>'Operating Data'!R23</f>
        <v>5934</v>
      </c>
      <c r="S26" s="345">
        <f>'Operating Data'!S23</f>
        <v>6846</v>
      </c>
      <c r="T26" s="345">
        <f>'Operating Data'!T23</f>
        <v>6766.7069999999994</v>
      </c>
      <c r="U26" s="345">
        <f>'Operating Data'!U23</f>
        <v>6759.1919999999991</v>
      </c>
      <c r="V26" s="345">
        <f>'Operating Data'!V23</f>
        <v>5076.0519999999997</v>
      </c>
      <c r="W26" s="345">
        <f>'Operating Data'!W23</f>
        <v>5076.0519899999999</v>
      </c>
      <c r="X26" s="345">
        <f>'Operating Data'!X23</f>
        <v>5076.0519899999999</v>
      </c>
      <c r="Y26" s="345">
        <f t="shared" ref="Y26:Y34" si="15">AE26</f>
        <v>5076.0519899999999</v>
      </c>
      <c r="Z26" s="345"/>
      <c r="AA26" s="333"/>
      <c r="AB26" s="345">
        <f>'Operating Data'!AB23</f>
        <v>5076.0519899999999</v>
      </c>
      <c r="AC26" s="345">
        <f>'Operating Data'!AC23</f>
        <v>5076.0519899999999</v>
      </c>
      <c r="AD26" s="345">
        <f>'Operating Data'!AD23</f>
        <v>5076.0519899999999</v>
      </c>
      <c r="AE26" s="345">
        <f>'Operating Data'!AE23</f>
        <v>5076.0519899999999</v>
      </c>
      <c r="AF26" s="345">
        <f>'Operating Data'!AF23</f>
        <v>5076.0519899999999</v>
      </c>
      <c r="AG26" s="345"/>
      <c r="AH26" s="345"/>
      <c r="AI26" s="345"/>
      <c r="AK26" s="345"/>
      <c r="AL26" s="345"/>
      <c r="AM26" s="345"/>
      <c r="AN26" s="345"/>
      <c r="AO26" s="345"/>
      <c r="AP26" s="345"/>
      <c r="AQ26" s="345"/>
      <c r="AR26" s="345"/>
    </row>
    <row r="27" spans="2:44" x14ac:dyDescent="0.25">
      <c r="B27" s="155" t="s">
        <v>105</v>
      </c>
      <c r="C27" s="38"/>
      <c r="D27" s="38"/>
      <c r="E27" s="38"/>
      <c r="F27" s="38"/>
      <c r="G27" s="38"/>
      <c r="H27" s="38"/>
      <c r="I27" s="38"/>
      <c r="J27" s="38"/>
      <c r="K27" s="38"/>
      <c r="L27" s="344">
        <f>'Operating Data'!L24</f>
        <v>0</v>
      </c>
      <c r="M27" s="344">
        <f>'Operating Data'!M24</f>
        <v>0</v>
      </c>
      <c r="N27" s="344">
        <f>'Operating Data'!N24</f>
        <v>0</v>
      </c>
      <c r="O27" s="344">
        <f>'Operating Data'!O24</f>
        <v>0</v>
      </c>
      <c r="P27" s="344">
        <f>'Operating Data'!P24</f>
        <v>0</v>
      </c>
      <c r="Q27" s="344">
        <f>'Operating Data'!Q24</f>
        <v>0</v>
      </c>
      <c r="R27" s="345">
        <f>'Operating Data'!R24</f>
        <v>1781</v>
      </c>
      <c r="S27" s="345">
        <f>'Operating Data'!S24</f>
        <v>2806</v>
      </c>
      <c r="T27" s="345">
        <f>'Operating Data'!T24</f>
        <v>2806.44</v>
      </c>
      <c r="U27" s="345">
        <f>'Operating Data'!U24</f>
        <v>2806.44</v>
      </c>
      <c r="V27" s="345">
        <f>'Operating Data'!V24</f>
        <v>2357.5</v>
      </c>
      <c r="W27" s="345">
        <f>'Operating Data'!W24</f>
        <v>2357.5</v>
      </c>
      <c r="X27" s="345">
        <f>'Operating Data'!X24</f>
        <v>2357.5</v>
      </c>
      <c r="Y27" s="345">
        <f t="shared" si="15"/>
        <v>2357.5</v>
      </c>
      <c r="Z27" s="345"/>
      <c r="AA27" s="333"/>
      <c r="AB27" s="345">
        <f>'Operating Data'!AB24</f>
        <v>2357.5</v>
      </c>
      <c r="AC27" s="345">
        <f>'Operating Data'!AC24</f>
        <v>2357.5</v>
      </c>
      <c r="AD27" s="345">
        <f>'Operating Data'!AD24</f>
        <v>2357.5</v>
      </c>
      <c r="AE27" s="345">
        <f>'Operating Data'!AE24</f>
        <v>2357.5</v>
      </c>
      <c r="AF27" s="345">
        <f>'Operating Data'!AF24</f>
        <v>2357.5</v>
      </c>
      <c r="AG27" s="345"/>
      <c r="AH27" s="345"/>
      <c r="AI27" s="345"/>
      <c r="AK27" s="345"/>
      <c r="AL27" s="345"/>
      <c r="AM27" s="345"/>
      <c r="AN27" s="345"/>
      <c r="AO27" s="345"/>
      <c r="AP27" s="345"/>
      <c r="AQ27" s="345"/>
      <c r="AR27" s="345"/>
    </row>
    <row r="28" spans="2:44" x14ac:dyDescent="0.25">
      <c r="B28" s="38" t="s">
        <v>103</v>
      </c>
      <c r="C28" s="38"/>
      <c r="D28" s="38"/>
      <c r="E28" s="38"/>
      <c r="F28" s="38"/>
      <c r="G28" s="38"/>
      <c r="H28" s="38"/>
      <c r="I28" s="38"/>
      <c r="J28" s="38"/>
      <c r="K28" s="38"/>
      <c r="L28" s="344">
        <f>'Operating Data'!L25</f>
        <v>1860</v>
      </c>
      <c r="M28" s="344">
        <f>'Operating Data'!M25</f>
        <v>1860</v>
      </c>
      <c r="N28" s="344">
        <f>'Operating Data'!N25</f>
        <v>1860</v>
      </c>
      <c r="O28" s="344">
        <f>'Operating Data'!O25</f>
        <v>1860.4</v>
      </c>
      <c r="P28" s="344">
        <f>'Operating Data'!P25</f>
        <v>1056.4000000000001</v>
      </c>
      <c r="Q28" s="344">
        <f>'Operating Data'!Q25</f>
        <v>1056</v>
      </c>
      <c r="R28" s="345">
        <f>'Operating Data'!R25</f>
        <v>2479</v>
      </c>
      <c r="S28" s="345">
        <f>'Operating Data'!S25</f>
        <v>2395</v>
      </c>
      <c r="T28" s="345">
        <f>'Operating Data'!T25</f>
        <v>2407.9</v>
      </c>
      <c r="U28" s="345">
        <f>'Operating Data'!U25</f>
        <v>2407.9</v>
      </c>
      <c r="V28" s="345">
        <f>'Operating Data'!V25</f>
        <v>1173.6999999999998</v>
      </c>
      <c r="W28" s="345">
        <f>'Operating Data'!W25</f>
        <v>1173.6999999999998</v>
      </c>
      <c r="X28" s="345">
        <f>'Operating Data'!X25</f>
        <v>1173.7</v>
      </c>
      <c r="Y28" s="345">
        <f t="shared" si="15"/>
        <v>1173.7</v>
      </c>
      <c r="Z28" s="345"/>
      <c r="AA28" s="333"/>
      <c r="AB28" s="345">
        <f>'Operating Data'!AB25</f>
        <v>1173.7</v>
      </c>
      <c r="AC28" s="345">
        <f>'Operating Data'!AC25</f>
        <v>1173.7000000000003</v>
      </c>
      <c r="AD28" s="345">
        <f>'Operating Data'!AD25</f>
        <v>1173.6999999999998</v>
      </c>
      <c r="AE28" s="345">
        <f>'Operating Data'!AE25</f>
        <v>1173.7</v>
      </c>
      <c r="AF28" s="345">
        <f>'Operating Data'!AF25</f>
        <v>1173.7</v>
      </c>
      <c r="AG28" s="345"/>
      <c r="AH28" s="345"/>
      <c r="AI28" s="345"/>
      <c r="AK28" s="345"/>
      <c r="AL28" s="345"/>
      <c r="AM28" s="345"/>
      <c r="AN28" s="345"/>
      <c r="AO28" s="345"/>
      <c r="AP28" s="345"/>
      <c r="AQ28" s="345"/>
      <c r="AR28" s="345"/>
    </row>
    <row r="29" spans="2:44" x14ac:dyDescent="0.25">
      <c r="B29" s="38" t="s">
        <v>104</v>
      </c>
      <c r="C29" s="155"/>
      <c r="D29" s="155"/>
      <c r="E29" s="155"/>
      <c r="F29" s="155"/>
      <c r="G29" s="155"/>
      <c r="H29" s="155"/>
      <c r="I29" s="155"/>
      <c r="J29" s="155"/>
      <c r="K29" s="155"/>
      <c r="L29" s="344">
        <f>'Operating Data'!L26</f>
        <v>2234</v>
      </c>
      <c r="M29" s="344">
        <f>'Operating Data'!M26</f>
        <v>2234</v>
      </c>
      <c r="N29" s="344">
        <f>'Operating Data'!N26</f>
        <v>2234</v>
      </c>
      <c r="O29" s="344">
        <f>'Operating Data'!O26</f>
        <v>2234</v>
      </c>
      <c r="P29" s="344">
        <f>'Operating Data'!P26</f>
        <v>2234</v>
      </c>
      <c r="Q29" s="344">
        <f>'Operating Data'!Q26</f>
        <v>2234</v>
      </c>
      <c r="R29" s="345">
        <f>'Operating Data'!R26</f>
        <v>3296</v>
      </c>
      <c r="S29" s="345">
        <f>'Operating Data'!S26</f>
        <v>4303</v>
      </c>
      <c r="T29" s="345">
        <f>'Operating Data'!T26</f>
        <v>4294.2559999999994</v>
      </c>
      <c r="U29" s="345">
        <f>'Operating Data'!U26</f>
        <v>4294.2559999999994</v>
      </c>
      <c r="V29" s="345">
        <f>'Operating Data'!V26</f>
        <v>3845.3159999999998</v>
      </c>
      <c r="W29" s="345">
        <f>'Operating Data'!W26</f>
        <v>3845.3159900000001</v>
      </c>
      <c r="X29" s="345">
        <f>'Operating Data'!X26</f>
        <v>3845.3159900000001</v>
      </c>
      <c r="Y29" s="345">
        <f t="shared" si="15"/>
        <v>3845.3159900000001</v>
      </c>
      <c r="Z29" s="345"/>
      <c r="AA29" s="333"/>
      <c r="AB29" s="345">
        <f>'Operating Data'!AB26</f>
        <v>3845.3159900000001</v>
      </c>
      <c r="AC29" s="345">
        <f>'Operating Data'!AC26</f>
        <v>3845.3159900000001</v>
      </c>
      <c r="AD29" s="345">
        <f>'Operating Data'!AD26</f>
        <v>3845.3159900000001</v>
      </c>
      <c r="AE29" s="345">
        <f>'Operating Data'!AE26</f>
        <v>3845.3159900000001</v>
      </c>
      <c r="AF29" s="345">
        <f>'Operating Data'!AF26</f>
        <v>3845.3159900000001</v>
      </c>
      <c r="AG29" s="345"/>
      <c r="AH29" s="345"/>
      <c r="AI29" s="345"/>
      <c r="AK29" s="345"/>
      <c r="AL29" s="345"/>
      <c r="AM29" s="345"/>
      <c r="AN29" s="345"/>
      <c r="AO29" s="345"/>
      <c r="AP29" s="345"/>
      <c r="AQ29" s="345"/>
      <c r="AR29" s="345"/>
    </row>
    <row r="30" spans="2:44" x14ac:dyDescent="0.25">
      <c r="B30" s="38" t="s">
        <v>106</v>
      </c>
      <c r="C30" s="38"/>
      <c r="D30" s="38"/>
      <c r="E30" s="38"/>
      <c r="F30" s="38"/>
      <c r="G30" s="38"/>
      <c r="H30" s="38"/>
      <c r="I30" s="38"/>
      <c r="J30" s="38"/>
      <c r="K30" s="38"/>
      <c r="L30" s="344">
        <f>'Operating Data'!L27</f>
        <v>159.68899999999999</v>
      </c>
      <c r="M30" s="344">
        <f>'Operating Data'!M27</f>
        <v>159.68899999999999</v>
      </c>
      <c r="N30" s="344">
        <f>'Operating Data'!N27</f>
        <v>156.68899999999999</v>
      </c>
      <c r="O30" s="344">
        <f>'Operating Data'!O27</f>
        <v>156.68899999999999</v>
      </c>
      <c r="P30" s="344">
        <f>'Operating Data'!P27</f>
        <v>156.68899999999999</v>
      </c>
      <c r="Q30" s="344">
        <f>'Operating Data'!Q27</f>
        <v>164</v>
      </c>
      <c r="R30" s="345">
        <f>'Operating Data'!R27</f>
        <v>159</v>
      </c>
      <c r="S30" s="345">
        <f>'Operating Data'!S27</f>
        <v>148</v>
      </c>
      <c r="T30" s="345">
        <f>'Operating Data'!T27</f>
        <v>64.550999999999988</v>
      </c>
      <c r="U30" s="345">
        <f>'Operating Data'!U27</f>
        <v>57.035999999999994</v>
      </c>
      <c r="V30" s="345">
        <f>'Operating Data'!V27</f>
        <v>57.036000000000001</v>
      </c>
      <c r="W30" s="345">
        <f>'Operating Data'!W27</f>
        <v>57.036000000000001</v>
      </c>
      <c r="X30" s="345">
        <f>'Operating Data'!X27</f>
        <v>57.036000000000008</v>
      </c>
      <c r="Y30" s="345">
        <f t="shared" si="15"/>
        <v>57.036000000000001</v>
      </c>
      <c r="Z30" s="345"/>
      <c r="AA30" s="333"/>
      <c r="AB30" s="345">
        <f>'Operating Data'!AB27</f>
        <v>57.036000000000001</v>
      </c>
      <c r="AC30" s="345">
        <f>'Operating Data'!AC27</f>
        <v>57.036000000000008</v>
      </c>
      <c r="AD30" s="345">
        <f>'Operating Data'!AD27</f>
        <v>57.036000000000001</v>
      </c>
      <c r="AE30" s="345">
        <f>'Operating Data'!AE27</f>
        <v>57.036000000000001</v>
      </c>
      <c r="AF30" s="345">
        <f>'Operating Data'!AF27</f>
        <v>57.036000000000001</v>
      </c>
      <c r="AG30" s="345"/>
      <c r="AH30" s="345"/>
      <c r="AI30" s="345"/>
      <c r="AK30" s="345"/>
      <c r="AL30" s="345"/>
      <c r="AM30" s="345"/>
      <c r="AN30" s="345"/>
      <c r="AO30" s="345"/>
      <c r="AP30" s="345"/>
      <c r="AQ30" s="345"/>
      <c r="AR30" s="345"/>
    </row>
    <row r="31" spans="2:44" x14ac:dyDescent="0.25">
      <c r="B31" s="109" t="s">
        <v>50</v>
      </c>
      <c r="C31" s="109"/>
      <c r="D31" s="109"/>
      <c r="E31" s="109"/>
      <c r="F31" s="109"/>
      <c r="G31" s="109"/>
      <c r="H31" s="109"/>
      <c r="I31" s="109"/>
      <c r="J31" s="109"/>
      <c r="K31" s="109"/>
      <c r="L31" s="345">
        <f>'Operating Data'!L28</f>
        <v>426.39800000000002</v>
      </c>
      <c r="M31" s="345">
        <f>'Operating Data'!M28</f>
        <v>426.39800000000002</v>
      </c>
      <c r="N31" s="345">
        <f>'Operating Data'!N28</f>
        <v>426.39800000000002</v>
      </c>
      <c r="O31" s="345">
        <f>'Operating Data'!O28</f>
        <v>426.39800000000002</v>
      </c>
      <c r="P31" s="345">
        <f>'Operating Data'!P28</f>
        <v>426.39800000000002</v>
      </c>
      <c r="Q31" s="345">
        <f>'Operating Data'!Q28</f>
        <v>426</v>
      </c>
      <c r="R31" s="345">
        <f>'Operating Data'!R28</f>
        <v>426</v>
      </c>
      <c r="S31" s="345">
        <f>'Operating Data'!S28</f>
        <v>426</v>
      </c>
      <c r="T31" s="345">
        <f>'Operating Data'!T28</f>
        <v>426.39800000000002</v>
      </c>
      <c r="U31" s="345">
        <f>'Operating Data'!U28</f>
        <v>426.39800000000002</v>
      </c>
      <c r="V31" s="345">
        <f>'Operating Data'!V28</f>
        <v>451.39800000000008</v>
      </c>
      <c r="W31" s="345">
        <f>'Operating Data'!W28</f>
        <v>451.39800000000014</v>
      </c>
      <c r="X31" s="345">
        <f>'Operating Data'!X28</f>
        <v>451.39800000000002</v>
      </c>
      <c r="Y31" s="345">
        <f t="shared" si="15"/>
        <v>443.68800000000005</v>
      </c>
      <c r="Z31" s="345"/>
      <c r="AA31" s="333"/>
      <c r="AB31" s="345">
        <f>'Operating Data'!AB28</f>
        <v>443.68800000000005</v>
      </c>
      <c r="AC31" s="345">
        <f>'Operating Data'!AC28</f>
        <v>443.68800000000005</v>
      </c>
      <c r="AD31" s="345">
        <f>'Operating Data'!AD28</f>
        <v>443.68800000000005</v>
      </c>
      <c r="AE31" s="345">
        <f>'Operating Data'!AE28</f>
        <v>443.68800000000005</v>
      </c>
      <c r="AF31" s="345">
        <f>'Operating Data'!AF28</f>
        <v>443.68800000000005</v>
      </c>
      <c r="AG31" s="345"/>
      <c r="AH31" s="345"/>
      <c r="AI31" s="345"/>
      <c r="AK31" s="345"/>
      <c r="AL31" s="345"/>
      <c r="AM31" s="345"/>
      <c r="AN31" s="345"/>
      <c r="AO31" s="345"/>
      <c r="AP31" s="345"/>
      <c r="AQ31" s="345"/>
      <c r="AR31" s="345"/>
    </row>
    <row r="32" spans="2:44" x14ac:dyDescent="0.25">
      <c r="B32" s="109" t="s">
        <v>39</v>
      </c>
      <c r="C32" s="125"/>
      <c r="D32" s="125"/>
      <c r="E32" s="125"/>
      <c r="F32" s="125"/>
      <c r="G32" s="125"/>
      <c r="H32" s="125"/>
      <c r="I32" s="125"/>
      <c r="J32" s="125"/>
      <c r="K32" s="125"/>
      <c r="L32" s="341">
        <f t="shared" ref="L32:W32" si="16">SUM(L33:L35)</f>
        <v>1734.8910000000001</v>
      </c>
      <c r="M32" s="341">
        <f t="shared" si="16"/>
        <v>1790.1410000000001</v>
      </c>
      <c r="N32" s="341">
        <f t="shared" si="16"/>
        <v>1794.0459999999998</v>
      </c>
      <c r="O32" s="341">
        <f t="shared" si="16"/>
        <v>1796.8820000000001</v>
      </c>
      <c r="P32" s="341">
        <f t="shared" si="16"/>
        <v>1796.8820000000001</v>
      </c>
      <c r="Q32" s="341">
        <f t="shared" si="16"/>
        <v>1798</v>
      </c>
      <c r="R32" s="341">
        <f t="shared" si="16"/>
        <v>1746</v>
      </c>
      <c r="S32" s="341">
        <f t="shared" si="16"/>
        <v>1747</v>
      </c>
      <c r="T32" s="346">
        <f t="shared" si="16"/>
        <v>1599.25</v>
      </c>
      <c r="U32" s="346">
        <f t="shared" si="16"/>
        <v>1599.25</v>
      </c>
      <c r="V32" s="346">
        <f t="shared" si="16"/>
        <v>1599</v>
      </c>
      <c r="W32" s="346">
        <f t="shared" si="16"/>
        <v>1599.25</v>
      </c>
      <c r="X32" s="346">
        <f t="shared" ref="X32" si="17">SUM(X33:X35)</f>
        <v>1599.25</v>
      </c>
      <c r="Y32" s="346">
        <f t="shared" si="15"/>
        <v>1401.25</v>
      </c>
      <c r="Z32" s="346"/>
      <c r="AA32" s="469"/>
      <c r="AB32" s="346">
        <f t="shared" ref="AB32" si="18">SUM(AB33:AB35)</f>
        <v>1401.25</v>
      </c>
      <c r="AC32" s="346">
        <f>SUM(AC33:AC35)</f>
        <v>1401.25</v>
      </c>
      <c r="AD32" s="346">
        <f>SUM(AD33:AD35)</f>
        <v>1401.25</v>
      </c>
      <c r="AE32" s="346">
        <f>SUM(AE33:AE35)</f>
        <v>1401.25</v>
      </c>
      <c r="AF32" s="346">
        <f>SUM(AF33:AF35)</f>
        <v>1401.25</v>
      </c>
      <c r="AG32" s="346"/>
      <c r="AH32" s="346"/>
      <c r="AI32" s="346"/>
      <c r="AJ32" s="251"/>
      <c r="AK32" s="341"/>
      <c r="AL32" s="341"/>
      <c r="AM32" s="341"/>
      <c r="AN32" s="341"/>
      <c r="AO32" s="341"/>
      <c r="AP32" s="341"/>
      <c r="AQ32" s="341"/>
      <c r="AR32" s="341"/>
    </row>
    <row r="33" spans="2:44" x14ac:dyDescent="0.25">
      <c r="B33" s="38" t="s">
        <v>109</v>
      </c>
      <c r="C33" s="109"/>
      <c r="D33" s="109"/>
      <c r="E33" s="109"/>
      <c r="F33" s="109"/>
      <c r="G33" s="109"/>
      <c r="H33" s="109"/>
      <c r="I33" s="109"/>
      <c r="J33" s="109"/>
      <c r="K33" s="109"/>
      <c r="L33" s="346">
        <v>902.5</v>
      </c>
      <c r="M33" s="346">
        <v>902.5</v>
      </c>
      <c r="N33" s="346">
        <v>902.5</v>
      </c>
      <c r="O33" s="346">
        <v>902.5</v>
      </c>
      <c r="P33" s="346">
        <v>902.5</v>
      </c>
      <c r="Q33" s="346">
        <v>903</v>
      </c>
      <c r="R33" s="346">
        <v>903</v>
      </c>
      <c r="S33" s="346">
        <v>903</v>
      </c>
      <c r="T33" s="346">
        <v>902.5</v>
      </c>
      <c r="U33" s="346">
        <v>902.5</v>
      </c>
      <c r="V33" s="346">
        <v>902</v>
      </c>
      <c r="W33" s="346">
        <v>902.5</v>
      </c>
      <c r="X33" s="346">
        <v>902.5</v>
      </c>
      <c r="Y33" s="346">
        <f t="shared" si="15"/>
        <v>902.5</v>
      </c>
      <c r="Z33" s="346"/>
      <c r="AA33" s="333"/>
      <c r="AB33" s="346">
        <v>902.5</v>
      </c>
      <c r="AC33" s="346">
        <v>902.5</v>
      </c>
      <c r="AD33" s="346">
        <v>902.5</v>
      </c>
      <c r="AE33" s="346">
        <v>902.5</v>
      </c>
      <c r="AF33" s="346">
        <v>902.5</v>
      </c>
      <c r="AG33" s="308"/>
      <c r="AH33" s="308"/>
      <c r="AI33" s="308"/>
      <c r="AK33" s="346"/>
      <c r="AL33" s="346"/>
      <c r="AM33" s="346"/>
      <c r="AN33" s="346"/>
      <c r="AO33" s="346"/>
      <c r="AP33" s="346"/>
      <c r="AQ33" s="346"/>
      <c r="AR33" s="346"/>
    </row>
    <row r="34" spans="2:44" x14ac:dyDescent="0.25">
      <c r="B34" s="38" t="s">
        <v>110</v>
      </c>
      <c r="C34" s="109"/>
      <c r="D34" s="109"/>
      <c r="E34" s="109"/>
      <c r="F34" s="109"/>
      <c r="G34" s="109"/>
      <c r="H34" s="109"/>
      <c r="I34" s="109"/>
      <c r="J34" s="109"/>
      <c r="K34" s="109"/>
      <c r="L34" s="346">
        <v>452</v>
      </c>
      <c r="M34" s="346">
        <v>498.75</v>
      </c>
      <c r="N34" s="346">
        <v>498.75</v>
      </c>
      <c r="O34" s="346">
        <v>498.75</v>
      </c>
      <c r="P34" s="346">
        <v>498.75</v>
      </c>
      <c r="Q34" s="308">
        <v>499</v>
      </c>
      <c r="R34" s="308">
        <v>499</v>
      </c>
      <c r="S34" s="308">
        <v>499</v>
      </c>
      <c r="T34" s="308">
        <v>498.75</v>
      </c>
      <c r="U34" s="308">
        <v>498.75</v>
      </c>
      <c r="V34" s="346">
        <v>499</v>
      </c>
      <c r="W34" s="346" vm="1">
        <v>498.75</v>
      </c>
      <c r="X34" s="501" vm="141">
        <v>498.75</v>
      </c>
      <c r="Y34" s="346" vm="334">
        <f t="shared" si="15"/>
        <v>498.75</v>
      </c>
      <c r="Z34" s="346"/>
      <c r="AA34" s="333"/>
      <c r="AB34" s="501" vm="142">
        <v>498.75</v>
      </c>
      <c r="AC34" s="501" vm="331">
        <v>498.75</v>
      </c>
      <c r="AD34" s="501" vm="290">
        <v>498.75</v>
      </c>
      <c r="AE34" s="501" vm="334">
        <v>498.75</v>
      </c>
      <c r="AF34" s="501" vm="478">
        <v>498.75</v>
      </c>
      <c r="AG34" s="308"/>
      <c r="AH34" s="308"/>
      <c r="AI34" s="308"/>
      <c r="AK34" s="346"/>
      <c r="AL34" s="346"/>
      <c r="AM34" s="346"/>
      <c r="AN34" s="346"/>
      <c r="AO34" s="346"/>
      <c r="AP34" s="346"/>
      <c r="AQ34" s="346"/>
      <c r="AR34" s="346"/>
    </row>
    <row r="35" spans="2:44" x14ac:dyDescent="0.25">
      <c r="B35" s="38" t="s">
        <v>111</v>
      </c>
      <c r="C35" s="109"/>
      <c r="D35" s="109"/>
      <c r="E35" s="109"/>
      <c r="F35" s="109"/>
      <c r="G35" s="109"/>
      <c r="H35" s="109"/>
      <c r="I35" s="109"/>
      <c r="J35" s="109"/>
      <c r="K35" s="109"/>
      <c r="L35" s="346">
        <v>380.39100000000002</v>
      </c>
      <c r="M35" s="346">
        <v>388.89100000000002</v>
      </c>
      <c r="N35" s="346">
        <v>392.79599999999994</v>
      </c>
      <c r="O35" s="346">
        <v>395.63199999999995</v>
      </c>
      <c r="P35" s="346">
        <v>395.63199999999995</v>
      </c>
      <c r="Q35" s="308">
        <v>396</v>
      </c>
      <c r="R35" s="308">
        <v>344</v>
      </c>
      <c r="S35" s="308">
        <v>345</v>
      </c>
      <c r="T35" s="308">
        <v>198</v>
      </c>
      <c r="U35" s="308">
        <v>198</v>
      </c>
      <c r="V35" s="346">
        <v>198</v>
      </c>
      <c r="W35" s="346" vm="2">
        <v>198</v>
      </c>
      <c r="X35" s="501" vm="2">
        <v>198</v>
      </c>
      <c r="Y35" s="346" t="str" vm="143">
        <f>AB35</f>
        <v/>
      </c>
      <c r="Z35" s="346"/>
      <c r="AA35" s="333"/>
      <c r="AB35" s="501" t="s" vm="143">
        <v>479</v>
      </c>
      <c r="AC35" s="501" t="s" vm="148">
        <v>479</v>
      </c>
      <c r="AD35" s="501" t="s" vm="252">
        <v>479</v>
      </c>
      <c r="AE35" s="501" t="s" vm="335">
        <v>479</v>
      </c>
      <c r="AF35" s="501" t="s" vm="479">
        <v>479</v>
      </c>
      <c r="AG35" s="308"/>
      <c r="AH35" s="308"/>
      <c r="AI35" s="308"/>
      <c r="AK35" s="346"/>
      <c r="AL35" s="346"/>
      <c r="AM35" s="346"/>
      <c r="AN35" s="346"/>
      <c r="AO35" s="346"/>
      <c r="AP35" s="346"/>
      <c r="AQ35" s="346"/>
      <c r="AR35" s="346"/>
    </row>
    <row r="36" spans="2:44" x14ac:dyDescent="0.25">
      <c r="B36" s="109"/>
      <c r="C36" s="109"/>
      <c r="D36" s="109"/>
      <c r="E36" s="109"/>
      <c r="F36" s="109"/>
      <c r="G36" s="109"/>
      <c r="H36" s="109"/>
      <c r="I36" s="109"/>
      <c r="J36" s="109"/>
      <c r="K36" s="109"/>
      <c r="L36" s="345"/>
      <c r="M36" s="345"/>
      <c r="N36" s="345"/>
      <c r="O36" s="345"/>
      <c r="P36" s="345"/>
      <c r="Q36" s="345"/>
      <c r="R36" s="345"/>
      <c r="S36" s="345"/>
      <c r="T36" s="345"/>
      <c r="U36" s="345"/>
      <c r="V36" s="345"/>
      <c r="W36" s="345"/>
      <c r="X36" s="345"/>
      <c r="Y36" s="341"/>
      <c r="Z36" s="341"/>
      <c r="AA36" s="333"/>
      <c r="AB36" s="345"/>
      <c r="AC36" s="345"/>
      <c r="AD36" s="345"/>
      <c r="AE36" s="345"/>
      <c r="AF36" s="345"/>
      <c r="AG36" s="345"/>
      <c r="AH36" s="345"/>
      <c r="AI36" s="345"/>
      <c r="AK36" s="345"/>
      <c r="AL36" s="345"/>
      <c r="AM36" s="345"/>
      <c r="AN36" s="345"/>
      <c r="AO36" s="345"/>
      <c r="AP36" s="345"/>
      <c r="AQ36" s="345"/>
      <c r="AR36" s="345"/>
    </row>
    <row r="37" spans="2:44" x14ac:dyDescent="0.25">
      <c r="B37" s="125" t="s">
        <v>96</v>
      </c>
      <c r="C37" s="125"/>
      <c r="D37" s="125"/>
      <c r="E37" s="125"/>
      <c r="F37" s="125"/>
      <c r="G37" s="125"/>
      <c r="H37" s="125"/>
      <c r="I37" s="125"/>
      <c r="J37" s="125"/>
      <c r="K37" s="125"/>
      <c r="L37" s="341" t="e">
        <f t="shared" ref="L37:X37" si="19">L38</f>
        <v>#REF!</v>
      </c>
      <c r="M37" s="341" t="e">
        <f t="shared" si="19"/>
        <v>#REF!</v>
      </c>
      <c r="N37" s="341" t="e">
        <f t="shared" si="19"/>
        <v>#REF!</v>
      </c>
      <c r="O37" s="341" t="e">
        <f t="shared" si="19"/>
        <v>#REF!</v>
      </c>
      <c r="P37" s="341" t="e">
        <f t="shared" si="19"/>
        <v>#REF!</v>
      </c>
      <c r="Q37" s="341" t="e">
        <f t="shared" si="19"/>
        <v>#REF!</v>
      </c>
      <c r="R37" s="341" t="e">
        <f t="shared" si="19"/>
        <v>#REF!</v>
      </c>
      <c r="S37" s="341" t="e">
        <f t="shared" si="19"/>
        <v>#REF!</v>
      </c>
      <c r="T37" s="341">
        <f t="shared" si="19"/>
        <v>539.30833332999998</v>
      </c>
      <c r="U37" s="341">
        <f t="shared" si="19"/>
        <v>551.255</v>
      </c>
      <c r="V37" s="341">
        <f t="shared" si="19"/>
        <v>551</v>
      </c>
      <c r="W37" s="341">
        <f t="shared" si="19"/>
        <v>551.259906</v>
      </c>
      <c r="X37" s="341">
        <f t="shared" si="19"/>
        <v>551.259906</v>
      </c>
      <c r="Y37" s="341">
        <f>AE37</f>
        <v>551.259906</v>
      </c>
      <c r="Z37" s="341"/>
      <c r="AA37" s="333"/>
      <c r="AB37" s="341">
        <f t="shared" ref="AB37" si="20">AB38</f>
        <v>551.259906</v>
      </c>
      <c r="AC37" s="341">
        <f>AC38</f>
        <v>551.259906</v>
      </c>
      <c r="AD37" s="341">
        <f>AD38</f>
        <v>551.259906</v>
      </c>
      <c r="AE37" s="341">
        <f>AE38</f>
        <v>551.259906</v>
      </c>
      <c r="AF37" s="341">
        <f>AF38</f>
        <v>551.259906</v>
      </c>
      <c r="AG37" s="341"/>
      <c r="AH37" s="341"/>
      <c r="AI37" s="341"/>
      <c r="AK37" s="301"/>
      <c r="AL37" s="301"/>
      <c r="AM37" s="301"/>
      <c r="AN37" s="301"/>
      <c r="AO37" s="301"/>
      <c r="AP37" s="301"/>
      <c r="AQ37" s="301"/>
      <c r="AR37" s="301"/>
    </row>
    <row r="38" spans="2:44" x14ac:dyDescent="0.25">
      <c r="B38" s="109" t="s">
        <v>39</v>
      </c>
      <c r="C38" s="109"/>
      <c r="D38" s="109"/>
      <c r="E38" s="109"/>
      <c r="F38" s="109"/>
      <c r="G38" s="109"/>
      <c r="H38" s="109"/>
      <c r="I38" s="109"/>
      <c r="J38" s="109"/>
      <c r="K38" s="109"/>
      <c r="L38" s="308" t="e">
        <f>#REF!</f>
        <v>#REF!</v>
      </c>
      <c r="M38" s="308" t="e">
        <f>#REF!</f>
        <v>#REF!</v>
      </c>
      <c r="N38" s="308" t="e">
        <f>#REF!</f>
        <v>#REF!</v>
      </c>
      <c r="O38" s="308" t="e">
        <f>#REF!</f>
        <v>#REF!</v>
      </c>
      <c r="P38" s="308" t="e">
        <f>#REF!</f>
        <v>#REF!</v>
      </c>
      <c r="Q38" s="308" t="e">
        <f>#REF!</f>
        <v>#REF!</v>
      </c>
      <c r="R38" s="346" t="e">
        <f>#REF!</f>
        <v>#REF!</v>
      </c>
      <c r="S38" s="346" t="e">
        <f>#REF!</f>
        <v>#REF!</v>
      </c>
      <c r="T38" s="346">
        <f>+SUM(T39:T41)</f>
        <v>539.30833332999998</v>
      </c>
      <c r="U38" s="346">
        <f t="shared" ref="U38:W38" si="21">+SUM(U39:U41)</f>
        <v>551.255</v>
      </c>
      <c r="V38" s="346">
        <f t="shared" si="21"/>
        <v>551</v>
      </c>
      <c r="W38" s="346">
        <f t="shared" si="21"/>
        <v>551.259906</v>
      </c>
      <c r="X38" s="346">
        <f t="shared" ref="X38" si="22">+SUM(X39:X41)</f>
        <v>551.259906</v>
      </c>
      <c r="Y38" s="346">
        <f t="shared" ref="Y38" si="23">+SUM(Y39:Y41)</f>
        <v>551.259906</v>
      </c>
      <c r="Z38" s="346"/>
      <c r="AA38" s="333"/>
      <c r="AB38" s="346">
        <f>+SUM(AB39:AB41)</f>
        <v>551.259906</v>
      </c>
      <c r="AC38" s="346">
        <f>+SUM(AC39:AC41)</f>
        <v>551.259906</v>
      </c>
      <c r="AD38" s="346">
        <f>+SUM(AD39:AD41)</f>
        <v>551.259906</v>
      </c>
      <c r="AE38" s="346">
        <f>+SUM(AE39:AE41)</f>
        <v>551.259906</v>
      </c>
      <c r="AF38" s="346">
        <f>+SUM(AF39:AF41)</f>
        <v>551.259906</v>
      </c>
      <c r="AG38" s="346"/>
      <c r="AH38" s="346"/>
      <c r="AI38" s="346"/>
      <c r="AK38" s="310"/>
      <c r="AL38" s="310"/>
      <c r="AM38" s="310"/>
      <c r="AN38" s="310"/>
      <c r="AO38" s="310"/>
      <c r="AP38" s="310"/>
      <c r="AQ38" s="310"/>
      <c r="AR38" s="310"/>
    </row>
    <row r="39" spans="2:44" x14ac:dyDescent="0.25">
      <c r="B39" s="112" t="s">
        <v>112</v>
      </c>
      <c r="C39" s="109"/>
      <c r="D39" s="109"/>
      <c r="E39" s="109"/>
      <c r="F39" s="109"/>
      <c r="G39" s="109"/>
      <c r="H39" s="109"/>
      <c r="I39" s="109"/>
      <c r="J39" s="109"/>
      <c r="K39" s="109"/>
      <c r="L39" s="308">
        <v>0</v>
      </c>
      <c r="M39" s="308">
        <v>0</v>
      </c>
      <c r="N39" s="308">
        <v>0</v>
      </c>
      <c r="O39" s="308">
        <v>0</v>
      </c>
      <c r="P39" s="308">
        <v>0</v>
      </c>
      <c r="Q39" s="308">
        <v>0</v>
      </c>
      <c r="R39" s="346">
        <v>0</v>
      </c>
      <c r="S39" s="346">
        <v>0</v>
      </c>
      <c r="T39" s="346">
        <v>233.33333332999999</v>
      </c>
      <c r="U39" s="346">
        <v>245.28</v>
      </c>
      <c r="V39" s="346">
        <v>245</v>
      </c>
      <c r="W39" s="346" vm="3">
        <v>245.28490600000001</v>
      </c>
      <c r="X39" s="501" vm="3">
        <v>245.28490600000001</v>
      </c>
      <c r="Y39" s="346" vm="274">
        <f>AE39</f>
        <v>245.28490600000001</v>
      </c>
      <c r="Z39" s="346"/>
      <c r="AA39" s="333"/>
      <c r="AB39" s="501" vm="144">
        <v>245.28490600000001</v>
      </c>
      <c r="AC39" s="501" vm="332">
        <v>245.28490600000001</v>
      </c>
      <c r="AD39" s="501" vm="445">
        <v>245.28490600000001</v>
      </c>
      <c r="AE39" s="501" vm="274">
        <v>245.28490600000001</v>
      </c>
      <c r="AF39" s="501" vm="144">
        <v>245.28490600000001</v>
      </c>
      <c r="AG39" s="308"/>
      <c r="AH39" s="308"/>
      <c r="AI39" s="308"/>
      <c r="AK39" s="346"/>
      <c r="AL39" s="346"/>
      <c r="AM39" s="346"/>
      <c r="AN39" s="346"/>
      <c r="AO39" s="346"/>
      <c r="AP39" s="346"/>
      <c r="AQ39" s="346"/>
      <c r="AR39" s="346"/>
    </row>
    <row r="40" spans="2:44" x14ac:dyDescent="0.25">
      <c r="B40" s="112" t="s">
        <v>113</v>
      </c>
      <c r="C40" s="109"/>
      <c r="D40" s="109"/>
      <c r="E40" s="109"/>
      <c r="F40" s="109"/>
      <c r="G40" s="109"/>
      <c r="H40" s="109"/>
      <c r="I40" s="109"/>
      <c r="J40" s="109"/>
      <c r="K40" s="109"/>
      <c r="L40" s="308">
        <v>0</v>
      </c>
      <c r="M40" s="308">
        <v>0</v>
      </c>
      <c r="N40" s="308">
        <v>0</v>
      </c>
      <c r="O40" s="308">
        <v>0</v>
      </c>
      <c r="P40" s="308">
        <v>0</v>
      </c>
      <c r="Q40" s="308">
        <v>0</v>
      </c>
      <c r="R40" s="308">
        <v>0</v>
      </c>
      <c r="S40" s="308">
        <v>0</v>
      </c>
      <c r="T40" s="308">
        <v>109.5</v>
      </c>
      <c r="U40" s="308">
        <v>109.5</v>
      </c>
      <c r="V40" s="308">
        <v>110</v>
      </c>
      <c r="W40" s="308" vm="4">
        <v>109.5</v>
      </c>
      <c r="X40" s="501" vm="4">
        <v>109.5</v>
      </c>
      <c r="Y40" s="308" vm="275">
        <f>AE40</f>
        <v>109.5</v>
      </c>
      <c r="Z40" s="308"/>
      <c r="AA40" s="333"/>
      <c r="AB40" s="501" vm="145">
        <v>109.5</v>
      </c>
      <c r="AC40" s="501" vm="149">
        <v>109.5</v>
      </c>
      <c r="AD40" s="501" vm="291">
        <v>109.5</v>
      </c>
      <c r="AE40" s="501" vm="275">
        <v>109.5</v>
      </c>
      <c r="AF40" s="501" vm="145">
        <v>109.5</v>
      </c>
      <c r="AG40" s="308"/>
      <c r="AH40" s="308"/>
      <c r="AI40" s="308"/>
      <c r="AK40" s="308"/>
      <c r="AL40" s="308"/>
      <c r="AM40" s="308"/>
      <c r="AN40" s="308"/>
      <c r="AO40" s="308"/>
      <c r="AP40" s="308"/>
      <c r="AQ40" s="308"/>
      <c r="AR40" s="308"/>
    </row>
    <row r="41" spans="2:44" x14ac:dyDescent="0.25">
      <c r="B41" s="112" t="s">
        <v>114</v>
      </c>
      <c r="C41" s="109"/>
      <c r="D41" s="109"/>
      <c r="E41" s="109"/>
      <c r="F41" s="109"/>
      <c r="G41" s="109"/>
      <c r="H41" s="109"/>
      <c r="I41" s="109"/>
      <c r="J41" s="109"/>
      <c r="K41" s="109"/>
      <c r="L41" s="308">
        <v>0</v>
      </c>
      <c r="M41" s="308">
        <v>0</v>
      </c>
      <c r="N41" s="308">
        <v>0</v>
      </c>
      <c r="O41" s="308">
        <v>0</v>
      </c>
      <c r="P41" s="308">
        <v>0</v>
      </c>
      <c r="Q41" s="308">
        <v>0</v>
      </c>
      <c r="R41" s="308">
        <v>0</v>
      </c>
      <c r="S41" s="308">
        <v>0</v>
      </c>
      <c r="T41" s="308">
        <v>196.47499999999999</v>
      </c>
      <c r="U41" s="308">
        <v>196.47499999999999</v>
      </c>
      <c r="V41" s="308">
        <v>196</v>
      </c>
      <c r="W41" s="308" vm="5">
        <v>196.47499999999999</v>
      </c>
      <c r="X41" s="501" vm="5">
        <v>196.47499999999999</v>
      </c>
      <c r="Y41" s="308" vm="336">
        <f>AE41</f>
        <v>196.47499999999999</v>
      </c>
      <c r="Z41" s="308"/>
      <c r="AA41" s="333"/>
      <c r="AB41" s="501" vm="146">
        <v>196.47499999999999</v>
      </c>
      <c r="AC41" s="501" vm="333">
        <v>196.47499999999999</v>
      </c>
      <c r="AD41" s="501" vm="217">
        <v>196.47499999999999</v>
      </c>
      <c r="AE41" s="501" vm="336">
        <v>196.47499999999999</v>
      </c>
      <c r="AF41" s="501" vm="146">
        <v>196.47499999999999</v>
      </c>
      <c r="AG41" s="308"/>
      <c r="AH41" s="308"/>
      <c r="AI41" s="308"/>
      <c r="AK41" s="308"/>
      <c r="AL41" s="308"/>
      <c r="AM41" s="308"/>
      <c r="AN41" s="308"/>
      <c r="AO41" s="308"/>
      <c r="AP41" s="308"/>
      <c r="AQ41" s="308"/>
      <c r="AR41" s="308"/>
    </row>
    <row r="42" spans="2:44" x14ac:dyDescent="0.25">
      <c r="B42" s="109"/>
      <c r="C42" s="109"/>
      <c r="D42" s="109"/>
      <c r="E42" s="109"/>
      <c r="F42" s="109"/>
      <c r="G42" s="109"/>
      <c r="H42" s="109"/>
      <c r="I42" s="109"/>
      <c r="J42" s="109"/>
      <c r="K42" s="109"/>
      <c r="L42" s="308"/>
      <c r="M42" s="308"/>
      <c r="N42" s="308"/>
      <c r="O42" s="308"/>
      <c r="P42" s="308"/>
      <c r="Q42" s="308"/>
      <c r="R42" s="346"/>
      <c r="S42" s="346"/>
      <c r="T42" s="346"/>
      <c r="U42" s="346"/>
      <c r="V42" s="346"/>
      <c r="W42" s="346"/>
      <c r="X42" s="346"/>
      <c r="Y42" s="341"/>
      <c r="Z42" s="341"/>
      <c r="AA42" s="333"/>
      <c r="AB42" s="346"/>
      <c r="AC42" s="346"/>
      <c r="AD42" s="346"/>
      <c r="AK42" s="310"/>
      <c r="AL42" s="310"/>
      <c r="AM42" s="310"/>
      <c r="AN42" s="310"/>
      <c r="AO42" s="310"/>
      <c r="AP42" s="310"/>
      <c r="AQ42" s="310"/>
      <c r="AR42" s="310"/>
    </row>
    <row r="43" spans="2:44" x14ac:dyDescent="0.25">
      <c r="B43" s="220" t="s">
        <v>97</v>
      </c>
      <c r="C43" s="221"/>
      <c r="D43" s="221"/>
      <c r="E43" s="221"/>
      <c r="F43" s="221"/>
      <c r="G43" s="221"/>
      <c r="H43" s="221"/>
      <c r="I43" s="221"/>
      <c r="J43" s="221"/>
      <c r="K43" s="221"/>
      <c r="L43" s="301">
        <v>0</v>
      </c>
      <c r="M43" s="301">
        <v>0</v>
      </c>
      <c r="N43" s="301">
        <v>0</v>
      </c>
      <c r="O43" s="301">
        <v>0</v>
      </c>
      <c r="P43" s="301">
        <v>0</v>
      </c>
      <c r="Q43" s="301">
        <v>0</v>
      </c>
      <c r="R43" s="301">
        <v>0</v>
      </c>
      <c r="S43" s="301">
        <v>0</v>
      </c>
      <c r="T43" s="301">
        <v>0</v>
      </c>
      <c r="U43" s="301">
        <v>0</v>
      </c>
      <c r="V43" s="301">
        <v>33.67625392630989</v>
      </c>
      <c r="W43" s="301">
        <v>28.234470581891799</v>
      </c>
      <c r="X43" s="301">
        <v>28.236061853502157</v>
      </c>
      <c r="Y43" s="341">
        <f>AE43</f>
        <v>37.296138959751787</v>
      </c>
      <c r="Z43" s="341"/>
      <c r="AA43" s="333"/>
      <c r="AB43" s="301">
        <v>2.04520659787593</v>
      </c>
      <c r="AC43" s="301">
        <v>6.9772985457266801</v>
      </c>
      <c r="AD43" s="301">
        <v>13.038016874439121</v>
      </c>
      <c r="AE43" s="301">
        <v>37.296138959751787</v>
      </c>
      <c r="AF43" s="301">
        <v>2.2959527337239201</v>
      </c>
      <c r="AG43" s="301"/>
      <c r="AH43" s="301"/>
      <c r="AI43" s="301"/>
      <c r="AJ43" s="333"/>
      <c r="AK43" s="310"/>
      <c r="AL43" s="310"/>
      <c r="AM43" s="310"/>
      <c r="AN43" s="310"/>
      <c r="AO43" s="310"/>
      <c r="AP43" s="310"/>
      <c r="AQ43" s="310"/>
      <c r="AR43" s="310"/>
    </row>
    <row r="44" spans="2:44" x14ac:dyDescent="0.25">
      <c r="B44" s="221" t="s">
        <v>38</v>
      </c>
      <c r="C44" s="221"/>
      <c r="D44" s="221"/>
      <c r="E44" s="221"/>
      <c r="F44" s="221"/>
      <c r="G44" s="221"/>
      <c r="H44" s="221"/>
      <c r="I44" s="221"/>
      <c r="J44" s="221"/>
      <c r="K44" s="221"/>
      <c r="L44" s="310">
        <v>0</v>
      </c>
      <c r="M44" s="310">
        <v>0</v>
      </c>
      <c r="N44" s="310">
        <v>0</v>
      </c>
      <c r="O44" s="310">
        <v>0</v>
      </c>
      <c r="P44" s="310">
        <v>0</v>
      </c>
      <c r="Q44" s="310">
        <v>0</v>
      </c>
      <c r="R44" s="310">
        <v>0</v>
      </c>
      <c r="S44" s="310">
        <v>0</v>
      </c>
      <c r="T44" s="310">
        <v>0</v>
      </c>
      <c r="U44" s="310">
        <v>0</v>
      </c>
      <c r="V44" s="310">
        <v>28.565855742949953</v>
      </c>
      <c r="W44" s="310">
        <v>26.526643439999997</v>
      </c>
      <c r="X44" s="310">
        <v>25.563646729999995</v>
      </c>
      <c r="Y44" s="341">
        <f>AE44</f>
        <v>30.612246649999992</v>
      </c>
      <c r="Z44" s="341"/>
      <c r="AA44" s="333"/>
      <c r="AB44" s="310">
        <v>1.6900618700000001</v>
      </c>
      <c r="AC44" s="310">
        <v>5.6686656400000004</v>
      </c>
      <c r="AD44" s="310">
        <v>11.04629718</v>
      </c>
      <c r="AE44" s="310">
        <v>30.612246649999992</v>
      </c>
      <c r="AF44" s="310">
        <v>1.9410739500000003</v>
      </c>
      <c r="AG44" s="310"/>
      <c r="AH44" s="310"/>
      <c r="AI44" s="310"/>
      <c r="AJ44" s="333"/>
      <c r="AK44" s="310"/>
      <c r="AL44" s="310"/>
      <c r="AM44" s="310"/>
      <c r="AN44" s="310"/>
      <c r="AO44" s="310"/>
      <c r="AP44" s="310"/>
      <c r="AQ44" s="310"/>
      <c r="AR44" s="310"/>
    </row>
    <row r="45" spans="2:44" x14ac:dyDescent="0.25">
      <c r="B45" s="221" t="s">
        <v>39</v>
      </c>
      <c r="C45" s="221"/>
      <c r="D45" s="221"/>
      <c r="E45" s="221"/>
      <c r="F45" s="221"/>
      <c r="G45" s="221"/>
      <c r="H45" s="221"/>
      <c r="I45" s="221"/>
      <c r="J45" s="221"/>
      <c r="K45" s="221"/>
      <c r="L45" s="310">
        <v>0</v>
      </c>
      <c r="M45" s="310">
        <v>0</v>
      </c>
      <c r="N45" s="310">
        <v>0</v>
      </c>
      <c r="O45" s="310">
        <v>0</v>
      </c>
      <c r="P45" s="310">
        <v>0</v>
      </c>
      <c r="Q45" s="310">
        <v>0</v>
      </c>
      <c r="R45" s="310">
        <v>0</v>
      </c>
      <c r="S45" s="310">
        <v>0</v>
      </c>
      <c r="T45" s="310">
        <v>0</v>
      </c>
      <c r="U45" s="310">
        <v>0</v>
      </c>
      <c r="V45" s="310">
        <v>5.1103981833599343</v>
      </c>
      <c r="W45" s="310">
        <v>1.7078271418917998</v>
      </c>
      <c r="X45" s="310">
        <v>2.67241512350216</v>
      </c>
      <c r="Y45" s="341">
        <f>AE45</f>
        <v>6.6838923097518004</v>
      </c>
      <c r="Z45" s="341"/>
      <c r="AA45" s="333"/>
      <c r="AB45" s="310">
        <v>0.35514472787593004</v>
      </c>
      <c r="AC45" s="310">
        <v>1.3086329057266801</v>
      </c>
      <c r="AD45" s="310">
        <v>1.9917196944391202</v>
      </c>
      <c r="AE45" s="310">
        <v>6.6838923097518004</v>
      </c>
      <c r="AF45" s="310">
        <v>0.35487878372392001</v>
      </c>
      <c r="AG45" s="310"/>
      <c r="AH45" s="310"/>
      <c r="AI45" s="310"/>
      <c r="AJ45" s="333"/>
      <c r="AK45" s="310"/>
      <c r="AL45" s="310"/>
      <c r="AM45" s="310"/>
      <c r="AN45" s="310"/>
      <c r="AO45" s="310"/>
      <c r="AP45" s="310"/>
      <c r="AQ45" s="310"/>
      <c r="AR45" s="310"/>
    </row>
    <row r="46" spans="2:44" x14ac:dyDescent="0.25">
      <c r="L46" s="223"/>
      <c r="M46" s="223"/>
      <c r="N46" s="223"/>
      <c r="O46" s="223"/>
      <c r="P46" s="223"/>
      <c r="Q46" s="223"/>
      <c r="R46" s="223"/>
      <c r="S46" s="223"/>
      <c r="AA46" s="333"/>
    </row>
    <row r="47" spans="2:44" x14ac:dyDescent="0.25">
      <c r="B47" s="32" t="s">
        <v>98</v>
      </c>
      <c r="C47" s="32"/>
      <c r="D47" s="32"/>
      <c r="E47" s="32"/>
      <c r="F47" s="32"/>
      <c r="G47" s="32"/>
      <c r="H47" s="32"/>
      <c r="I47" s="32"/>
      <c r="J47" s="32"/>
      <c r="K47" s="32"/>
      <c r="L47" s="223"/>
      <c r="M47" s="223"/>
      <c r="N47" s="223"/>
      <c r="O47" s="223"/>
      <c r="P47" s="223"/>
      <c r="Q47" s="223"/>
      <c r="R47" s="223"/>
      <c r="S47" s="223"/>
      <c r="AA47" s="333"/>
    </row>
    <row r="48" spans="2:44" x14ac:dyDescent="0.25">
      <c r="B48" s="20" t="s">
        <v>99</v>
      </c>
      <c r="C48" s="20"/>
      <c r="D48" s="20"/>
      <c r="E48" s="20"/>
      <c r="F48" s="20"/>
      <c r="G48" s="20"/>
      <c r="H48" s="20"/>
      <c r="I48" s="20"/>
      <c r="J48" s="20"/>
      <c r="K48" s="20"/>
      <c r="L48" s="327" t="e">
        <f>#REF!</f>
        <v>#REF!</v>
      </c>
      <c r="M48" s="327" t="e">
        <f>#REF!</f>
        <v>#REF!</v>
      </c>
      <c r="N48" s="327" t="e">
        <f>#REF!</f>
        <v>#REF!</v>
      </c>
      <c r="O48" s="327" t="e">
        <f>#REF!</f>
        <v>#REF!</v>
      </c>
      <c r="P48" s="327" t="e">
        <f>#REF!</f>
        <v>#REF!</v>
      </c>
      <c r="Q48" s="327" t="e">
        <f>#REF!</f>
        <v>#REF!</v>
      </c>
      <c r="R48" s="327" t="e">
        <f>#REF!</f>
        <v>#REF!</v>
      </c>
      <c r="S48" s="327" t="e">
        <f>#REF!</f>
        <v>#REF!</v>
      </c>
      <c r="T48" s="292">
        <v>0.05</v>
      </c>
      <c r="U48" s="292">
        <v>-0.18999999999999995</v>
      </c>
      <c r="V48" s="292">
        <v>-3.0000000000000027E-2</v>
      </c>
      <c r="W48" s="292">
        <v>-6.9999999999999951E-2</v>
      </c>
      <c r="X48" s="292">
        <v>-0.37</v>
      </c>
      <c r="Y48" s="292">
        <f>AE48</f>
        <v>-1.0000000000000009E-2</v>
      </c>
      <c r="Z48" s="292"/>
      <c r="AA48" s="333"/>
      <c r="AB48" s="292">
        <v>-5.0000000000000044E-2</v>
      </c>
      <c r="AC48" s="292">
        <v>-0.20999999999999996</v>
      </c>
      <c r="AD48" s="292">
        <v>-0.20999999999999996</v>
      </c>
      <c r="AE48" s="292">
        <v>-1.0000000000000009E-2</v>
      </c>
      <c r="AF48" s="292">
        <v>0.37999999999999989</v>
      </c>
      <c r="AG48" s="305"/>
      <c r="AH48" s="305"/>
      <c r="AI48" s="305"/>
      <c r="AK48" s="327"/>
      <c r="AL48" s="327"/>
      <c r="AM48" s="327"/>
      <c r="AN48" s="327"/>
      <c r="AO48" s="327"/>
      <c r="AP48" s="327"/>
      <c r="AQ48" s="327"/>
      <c r="AR48" s="327"/>
    </row>
    <row r="49" spans="2:66" x14ac:dyDescent="0.25">
      <c r="B49" s="20" t="s">
        <v>100</v>
      </c>
      <c r="C49" s="20"/>
      <c r="D49" s="20"/>
      <c r="E49" s="20"/>
      <c r="F49" s="20"/>
      <c r="G49" s="20"/>
      <c r="H49" s="20"/>
      <c r="I49" s="20"/>
      <c r="J49" s="20"/>
      <c r="K49" s="20"/>
      <c r="L49" s="327" t="e">
        <f>#REF!</f>
        <v>#REF!</v>
      </c>
      <c r="M49" s="327" t="e">
        <f>#REF!</f>
        <v>#REF!</v>
      </c>
      <c r="N49" s="327" t="e">
        <f>#REF!</f>
        <v>#REF!</v>
      </c>
      <c r="O49" s="327" t="e">
        <f>#REF!</f>
        <v>#REF!</v>
      </c>
      <c r="P49" s="327" t="e">
        <f>#REF!</f>
        <v>#REF!</v>
      </c>
      <c r="Q49" s="327" t="e">
        <f>#REF!</f>
        <v>#REF!</v>
      </c>
      <c r="R49" s="327" t="e">
        <f>#REF!</f>
        <v>#REF!</v>
      </c>
      <c r="S49" s="327" t="e">
        <f>#REF!</f>
        <v>#REF!</v>
      </c>
      <c r="T49" s="353">
        <v>0.81536158909342271</v>
      </c>
      <c r="U49" s="353">
        <v>0.80910000000000004</v>
      </c>
      <c r="V49" s="353">
        <v>0.79900000000000004</v>
      </c>
      <c r="W49" s="353" vm="6">
        <v>0.73</v>
      </c>
      <c r="X49" s="502" vm="159">
        <v>0.86311800000000005</v>
      </c>
      <c r="Y49" s="353" vm="438">
        <f>AE49</f>
        <v>0.901146</v>
      </c>
      <c r="Z49" s="353"/>
      <c r="AA49" s="469"/>
      <c r="AB49" s="502" vm="253">
        <v>1.0078860000000001</v>
      </c>
      <c r="AC49" s="502" vm="257">
        <v>0.97694199999999998</v>
      </c>
      <c r="AD49" s="502" vm="254">
        <v>0.91591699999999998</v>
      </c>
      <c r="AE49" s="502" vm="438">
        <v>0.901146</v>
      </c>
      <c r="AF49" s="502" vm="477">
        <v>0.90286</v>
      </c>
      <c r="AG49" s="470"/>
      <c r="AH49" s="470"/>
      <c r="AI49" s="470"/>
      <c r="AK49" s="327"/>
      <c r="AL49" s="327"/>
      <c r="AM49" s="327"/>
      <c r="AN49" s="327"/>
      <c r="AO49" s="327"/>
      <c r="AP49" s="327"/>
      <c r="AQ49" s="327"/>
      <c r="AR49" s="327"/>
    </row>
    <row r="50" spans="2:66" x14ac:dyDescent="0.25">
      <c r="B50" s="9"/>
      <c r="C50" s="9"/>
      <c r="D50" s="9"/>
      <c r="E50" s="9"/>
      <c r="F50" s="9"/>
      <c r="G50" s="9"/>
      <c r="H50" s="9"/>
      <c r="I50" s="9"/>
      <c r="J50" s="9"/>
      <c r="K50" s="9"/>
      <c r="L50" s="341"/>
      <c r="M50" s="341"/>
      <c r="N50" s="341"/>
      <c r="O50" s="341"/>
      <c r="P50" s="341"/>
      <c r="Q50" s="341"/>
      <c r="R50" s="341"/>
      <c r="S50" s="341"/>
      <c r="T50" s="308"/>
      <c r="U50" s="308"/>
      <c r="V50" s="308"/>
      <c r="W50" s="308"/>
      <c r="X50" s="308"/>
      <c r="Y50" s="308"/>
      <c r="Z50" s="308"/>
      <c r="AA50" s="333"/>
      <c r="AB50" s="308"/>
      <c r="AC50" s="308"/>
      <c r="AD50" s="308"/>
      <c r="AE50" s="308"/>
      <c r="AF50" s="501"/>
      <c r="AG50" s="308"/>
      <c r="AH50" s="308"/>
      <c r="AI50" s="308"/>
      <c r="AK50" s="302"/>
      <c r="AL50" s="302"/>
      <c r="AM50" s="302"/>
      <c r="AN50" s="302"/>
      <c r="AO50" s="302"/>
      <c r="AP50" s="302"/>
      <c r="AQ50" s="302"/>
      <c r="AR50" s="302"/>
    </row>
    <row r="51" spans="2:66" x14ac:dyDescent="0.25">
      <c r="B51" s="39" t="s">
        <v>245</v>
      </c>
      <c r="C51" s="39"/>
      <c r="D51" s="39"/>
      <c r="E51" s="39"/>
      <c r="F51" s="39"/>
      <c r="G51" s="39"/>
      <c r="H51" s="39"/>
      <c r="I51" s="39"/>
      <c r="J51" s="39"/>
      <c r="K51" s="39"/>
      <c r="L51" s="223"/>
      <c r="M51" s="223"/>
      <c r="N51" s="223"/>
      <c r="O51" s="223"/>
      <c r="P51" s="223"/>
      <c r="Q51" s="223"/>
      <c r="R51" s="223"/>
      <c r="S51" s="223"/>
      <c r="T51" s="347"/>
      <c r="U51" s="347"/>
      <c r="V51" s="347"/>
      <c r="W51" s="347"/>
      <c r="X51" s="347"/>
      <c r="Y51" s="347"/>
      <c r="Z51" s="347"/>
      <c r="AA51" s="333"/>
      <c r="AB51" s="347"/>
      <c r="AC51" s="347"/>
      <c r="AD51" s="347"/>
      <c r="AE51" s="347"/>
      <c r="AF51" s="347"/>
      <c r="AG51" s="347"/>
      <c r="AH51" s="347"/>
      <c r="AI51" s="347"/>
      <c r="AK51" s="347"/>
      <c r="AL51" s="347"/>
      <c r="AM51" s="347"/>
      <c r="AN51" s="347"/>
      <c r="AO51" s="347"/>
      <c r="AP51" s="347"/>
      <c r="AQ51" s="347"/>
      <c r="AR51" s="347"/>
    </row>
    <row r="52" spans="2:66" x14ac:dyDescent="0.25">
      <c r="B52" s="20" t="s">
        <v>38</v>
      </c>
      <c r="C52" s="20"/>
      <c r="D52" s="20"/>
      <c r="E52" s="20"/>
      <c r="F52" s="20"/>
      <c r="G52" s="20"/>
      <c r="H52" s="20"/>
      <c r="I52" s="20"/>
      <c r="J52" s="20"/>
      <c r="K52" s="20"/>
      <c r="L52" s="311" t="e">
        <f>#REF!</f>
        <v>#REF!</v>
      </c>
      <c r="M52" s="311" t="e">
        <f>#REF!</f>
        <v>#REF!</v>
      </c>
      <c r="N52" s="311" t="e">
        <f>#REF!</f>
        <v>#REF!</v>
      </c>
      <c r="O52" s="311" t="e">
        <f>#REF!</f>
        <v>#REF!</v>
      </c>
      <c r="P52" s="311" t="e">
        <f>#REF!</f>
        <v>#REF!</v>
      </c>
      <c r="Q52" s="311" t="e">
        <f>#REF!</f>
        <v>#REF!</v>
      </c>
      <c r="R52" s="311" t="e">
        <f>#REF!</f>
        <v>#REF!</v>
      </c>
      <c r="S52" s="311" t="e">
        <f>#REF!</f>
        <v>#REF!</v>
      </c>
      <c r="T52" s="311">
        <v>0.21115503999503241</v>
      </c>
      <c r="U52" s="311">
        <v>0.1583491142567415</v>
      </c>
      <c r="V52" s="311">
        <v>0.21495500234917533</v>
      </c>
      <c r="W52" s="311">
        <v>0.20330606845667049</v>
      </c>
      <c r="X52" s="311">
        <v>0.26009163316648093</v>
      </c>
      <c r="Y52" s="311">
        <f>AE52</f>
        <v>0.27684280734806543</v>
      </c>
      <c r="Z52" s="311"/>
      <c r="AA52" s="469"/>
      <c r="AB52" s="311">
        <v>0.35820821394626123</v>
      </c>
      <c r="AC52" s="311">
        <v>0.28394332476583967</v>
      </c>
      <c r="AD52" s="311">
        <v>0.25591054265188407</v>
      </c>
      <c r="AE52" s="311">
        <v>0.27684280734806543</v>
      </c>
      <c r="AF52" s="311">
        <v>0.31606759495540238</v>
      </c>
      <c r="AG52" s="471"/>
      <c r="AH52" s="471"/>
      <c r="AI52" s="471"/>
      <c r="AK52" s="311"/>
      <c r="AL52" s="311"/>
      <c r="AM52" s="311"/>
      <c r="AN52" s="311"/>
      <c r="AO52" s="311"/>
      <c r="AP52" s="311"/>
      <c r="AQ52" s="311"/>
      <c r="AR52" s="311"/>
    </row>
    <row r="53" spans="2:66" x14ac:dyDescent="0.25">
      <c r="B53" s="20" t="s">
        <v>39</v>
      </c>
      <c r="C53" s="20"/>
      <c r="D53" s="20"/>
      <c r="E53" s="20"/>
      <c r="F53" s="20"/>
      <c r="G53" s="20"/>
      <c r="H53" s="20"/>
      <c r="I53" s="20"/>
      <c r="J53" s="20"/>
      <c r="K53" s="20"/>
      <c r="L53" s="311" t="e">
        <f>#REF!</f>
        <v>#REF!</v>
      </c>
      <c r="M53" s="311" t="e">
        <f>#REF!</f>
        <v>#REF!</v>
      </c>
      <c r="N53" s="311" t="e">
        <f>#REF!</f>
        <v>#REF!</v>
      </c>
      <c r="O53" s="311" t="e">
        <f>#REF!</f>
        <v>#REF!</v>
      </c>
      <c r="P53" s="311" t="e">
        <f>#REF!</f>
        <v>#REF!</v>
      </c>
      <c r="Q53" s="311" t="e">
        <f>#REF!</f>
        <v>#REF!</v>
      </c>
      <c r="R53" s="311" t="e">
        <f>#REF!</f>
        <v>#REF!</v>
      </c>
      <c r="S53" s="311" t="e">
        <f>#REF!</f>
        <v>#REF!</v>
      </c>
      <c r="T53" s="311">
        <v>0.39931864616472973</v>
      </c>
      <c r="U53" s="311">
        <v>0.29471717116701962</v>
      </c>
      <c r="V53" s="353">
        <v>0.39461504752483872</v>
      </c>
      <c r="W53" s="353">
        <v>0.39103754580500416</v>
      </c>
      <c r="X53" s="353">
        <v>0.41344456562366588</v>
      </c>
      <c r="Y53" s="311">
        <f>AE53</f>
        <v>0.34981750662308198</v>
      </c>
      <c r="Z53" s="311"/>
      <c r="AA53" s="469"/>
      <c r="AB53" s="353">
        <v>0.50687066040374007</v>
      </c>
      <c r="AC53" s="353">
        <v>0.40543346706866895</v>
      </c>
      <c r="AD53" s="353">
        <v>0.36255234676227727</v>
      </c>
      <c r="AE53" s="353">
        <v>0.34981750662308198</v>
      </c>
      <c r="AF53" s="353">
        <v>0.68993879627099031</v>
      </c>
      <c r="AG53" s="479"/>
      <c r="AH53" s="479"/>
      <c r="AI53" s="479"/>
      <c r="AK53" s="311"/>
      <c r="AL53" s="311"/>
      <c r="AM53" s="311"/>
      <c r="AN53" s="311"/>
      <c r="AO53" s="311"/>
      <c r="AP53" s="311"/>
      <c r="AQ53" s="311"/>
      <c r="AR53" s="311"/>
    </row>
    <row r="54" spans="2:66" x14ac:dyDescent="0.25">
      <c r="B54" s="32"/>
      <c r="C54" s="32"/>
      <c r="D54" s="32"/>
      <c r="E54" s="32"/>
      <c r="F54" s="32"/>
      <c r="G54" s="32"/>
      <c r="H54" s="32"/>
      <c r="I54" s="32"/>
      <c r="J54" s="32"/>
      <c r="K54" s="32"/>
      <c r="L54" s="341"/>
      <c r="M54" s="341"/>
      <c r="N54" s="341"/>
      <c r="O54" s="341"/>
      <c r="P54" s="341"/>
      <c r="Q54" s="341"/>
      <c r="R54" s="341"/>
      <c r="S54" s="341"/>
      <c r="T54" s="341"/>
      <c r="U54" s="341"/>
      <c r="V54" s="341"/>
      <c r="W54" s="341"/>
      <c r="X54" s="341"/>
      <c r="Y54" s="341"/>
      <c r="Z54" s="341"/>
      <c r="AA54" s="333"/>
      <c r="AB54" s="341"/>
      <c r="AC54" s="341"/>
      <c r="AD54" s="341"/>
      <c r="AE54" s="341"/>
      <c r="AF54" s="341"/>
      <c r="AG54" s="341"/>
      <c r="AH54" s="341"/>
      <c r="AI54" s="341"/>
      <c r="AK54" s="301"/>
      <c r="AL54" s="301"/>
      <c r="AM54" s="301"/>
      <c r="AN54" s="301"/>
      <c r="AO54" s="301"/>
      <c r="AP54" s="301"/>
      <c r="AQ54" s="301"/>
      <c r="AR54" s="301"/>
    </row>
    <row r="55" spans="2:66" x14ac:dyDescent="0.25">
      <c r="B55" s="36" t="s">
        <v>59</v>
      </c>
      <c r="C55" s="36"/>
      <c r="D55" s="36"/>
      <c r="E55" s="36"/>
      <c r="F55" s="36"/>
      <c r="G55" s="36"/>
      <c r="H55" s="36"/>
      <c r="I55" s="36"/>
      <c r="J55" s="36"/>
      <c r="K55" s="36"/>
      <c r="L55" s="348" t="e">
        <f t="shared" ref="L55:S55" si="24">L56+L59</f>
        <v>#REF!</v>
      </c>
      <c r="M55" s="348" t="e">
        <f t="shared" si="24"/>
        <v>#REF!</v>
      </c>
      <c r="N55" s="348" t="e">
        <f t="shared" si="24"/>
        <v>#REF!</v>
      </c>
      <c r="O55" s="348" t="e">
        <f t="shared" si="24"/>
        <v>#REF!</v>
      </c>
      <c r="P55" s="348" t="e">
        <f t="shared" si="24"/>
        <v>#REF!</v>
      </c>
      <c r="Q55" s="348" t="e">
        <f t="shared" si="24"/>
        <v>#REF!</v>
      </c>
      <c r="R55" s="348" t="e">
        <f t="shared" si="24"/>
        <v>#REF!</v>
      </c>
      <c r="S55" s="348" t="e">
        <f t="shared" si="24"/>
        <v>#REF!</v>
      </c>
      <c r="T55" s="348">
        <f>+T56+T59</f>
        <v>18899.44349705955</v>
      </c>
      <c r="U55" s="348">
        <f t="shared" ref="U55:X55" si="25">+U56+U59</f>
        <v>14096.226251612366</v>
      </c>
      <c r="V55" s="348">
        <f t="shared" si="25"/>
        <v>18792.488699846002</v>
      </c>
      <c r="W55" s="348">
        <f t="shared" si="25"/>
        <v>15283.099539593</v>
      </c>
      <c r="X55" s="348">
        <f t="shared" si="25"/>
        <v>11775.210974066</v>
      </c>
      <c r="Y55" s="348">
        <f t="shared" ref="Y55" si="26">+Y56+Y59</f>
        <v>14098.650056978</v>
      </c>
      <c r="Z55" s="348"/>
      <c r="AA55" s="333"/>
      <c r="AB55" s="348">
        <f t="shared" ref="AB55" si="27">+AB56+AB59</f>
        <v>5096.7958890080008</v>
      </c>
      <c r="AC55" s="348">
        <f t="shared" ref="AC55:AD55" si="28">+AC56+AC59</f>
        <v>7176.676712212</v>
      </c>
      <c r="AD55" s="348">
        <f t="shared" si="28"/>
        <v>8966.8169346259983</v>
      </c>
      <c r="AE55" s="348">
        <f t="shared" ref="AE55:AF55" si="29">+AE56+AE59</f>
        <v>14098.650056978</v>
      </c>
      <c r="AF55" s="348">
        <f t="shared" si="29"/>
        <v>6980.5944344519994</v>
      </c>
      <c r="AG55" s="348"/>
      <c r="AH55" s="348"/>
      <c r="AI55" s="348"/>
      <c r="AK55" s="313"/>
      <c r="AL55" s="313"/>
      <c r="AM55" s="313"/>
      <c r="AN55" s="313"/>
      <c r="AO55" s="313"/>
      <c r="AP55" s="313"/>
      <c r="AQ55" s="313"/>
      <c r="AR55" s="313"/>
    </row>
    <row r="56" spans="2:66" x14ac:dyDescent="0.25">
      <c r="B56" t="s">
        <v>38</v>
      </c>
      <c r="L56" s="346" t="e">
        <f>#REF!</f>
        <v>#REF!</v>
      </c>
      <c r="M56" s="346" t="e">
        <f>#REF!</f>
        <v>#REF!</v>
      </c>
      <c r="N56" s="346" t="e">
        <f>#REF!</f>
        <v>#REF!</v>
      </c>
      <c r="O56" s="346" t="e">
        <f>#REF!</f>
        <v>#REF!</v>
      </c>
      <c r="P56" s="346" t="e">
        <f>#REF!</f>
        <v>#REF!</v>
      </c>
      <c r="Q56" s="346" t="e">
        <f>#REF!</f>
        <v>#REF!</v>
      </c>
      <c r="R56" s="346" t="e">
        <f>#REF!</f>
        <v>#REF!</v>
      </c>
      <c r="S56" s="346" t="e">
        <f>#REF!</f>
        <v>#REF!</v>
      </c>
      <c r="T56" s="350">
        <v>13305.216875919999</v>
      </c>
      <c r="U56" s="350">
        <v>9967.4066723499873</v>
      </c>
      <c r="V56" s="350">
        <v>13249.010699846003</v>
      </c>
      <c r="W56" s="350">
        <v>9804.8864142660004</v>
      </c>
      <c r="X56" s="350">
        <v>6043.9936189320006</v>
      </c>
      <c r="Y56" s="350">
        <f>AE56</f>
        <v>9804.6576540549995</v>
      </c>
      <c r="Z56" s="350"/>
      <c r="AA56" s="469"/>
      <c r="AB56" s="350">
        <v>3562.6504611640003</v>
      </c>
      <c r="AC56" s="350">
        <v>4708.7910351609999</v>
      </c>
      <c r="AD56" s="350">
        <v>5638.227464524999</v>
      </c>
      <c r="AE56" s="350">
        <v>9804.6576540549995</v>
      </c>
      <c r="AF56" s="350">
        <v>4869.1540380599999</v>
      </c>
      <c r="AG56" s="472"/>
      <c r="AH56" s="472"/>
      <c r="AI56" s="472"/>
      <c r="AJ56" s="385"/>
      <c r="AK56" s="350">
        <f>AB56</f>
        <v>3562.6504611640003</v>
      </c>
      <c r="AL56" s="350">
        <f t="shared" ref="AL56:AN58" si="30">AC56-AB56</f>
        <v>1146.1405739969996</v>
      </c>
      <c r="AM56" s="350">
        <f t="shared" si="30"/>
        <v>929.4364293639992</v>
      </c>
      <c r="AN56" s="350">
        <f t="shared" si="30"/>
        <v>4166.4301895300005</v>
      </c>
      <c r="AO56" s="350">
        <f>AF56</f>
        <v>4869.1540380599999</v>
      </c>
      <c r="AP56" s="350"/>
      <c r="AQ56" s="350"/>
      <c r="AR56" s="350"/>
    </row>
    <row r="57" spans="2:66" x14ac:dyDescent="0.25">
      <c r="B57" s="9" t="s">
        <v>107</v>
      </c>
      <c r="L57" s="341">
        <v>0</v>
      </c>
      <c r="M57" s="341">
        <v>0</v>
      </c>
      <c r="N57" s="341">
        <v>0</v>
      </c>
      <c r="O57" s="341">
        <v>0</v>
      </c>
      <c r="P57" s="341">
        <v>0</v>
      </c>
      <c r="Q57" s="341">
        <v>0</v>
      </c>
      <c r="R57" s="341">
        <v>0</v>
      </c>
      <c r="S57" s="341">
        <v>0</v>
      </c>
      <c r="T57" s="350">
        <v>11476.45432042</v>
      </c>
      <c r="U57" s="350">
        <v>8599.346833284988</v>
      </c>
      <c r="V57" s="350">
        <v>11614.100694076003</v>
      </c>
      <c r="W57" s="350">
        <v>8328.4802550059994</v>
      </c>
      <c r="X57" s="350">
        <v>4359.1912459320001</v>
      </c>
      <c r="Y57" s="350">
        <f>AE57</f>
        <v>8208.8389490549998</v>
      </c>
      <c r="Z57" s="350"/>
      <c r="AA57" s="469"/>
      <c r="AB57" s="350">
        <v>3188.9734981640004</v>
      </c>
      <c r="AC57" s="350">
        <v>3991.0555981609996</v>
      </c>
      <c r="AD57" s="350">
        <v>4495.9141765249988</v>
      </c>
      <c r="AE57" s="350">
        <v>8208.8389490549998</v>
      </c>
      <c r="AF57" s="350">
        <v>4324.0676020600004</v>
      </c>
      <c r="AG57" s="472"/>
      <c r="AH57" s="472"/>
      <c r="AI57" s="472"/>
      <c r="AJ57" s="385"/>
      <c r="AK57" s="350">
        <f>AB57</f>
        <v>3188.9734981640004</v>
      </c>
      <c r="AL57" s="350">
        <f t="shared" si="30"/>
        <v>802.0820999969992</v>
      </c>
      <c r="AM57" s="350">
        <f t="shared" si="30"/>
        <v>504.85857836399919</v>
      </c>
      <c r="AN57" s="350">
        <f t="shared" si="30"/>
        <v>3712.9247725300011</v>
      </c>
      <c r="AO57" s="350">
        <f>AF57</f>
        <v>4324.0676020600004</v>
      </c>
      <c r="AP57" s="350"/>
      <c r="AQ57" s="350"/>
      <c r="AR57" s="350"/>
    </row>
    <row r="58" spans="2:66" x14ac:dyDescent="0.25">
      <c r="B58" s="163" t="s">
        <v>108</v>
      </c>
      <c r="C58" s="1"/>
      <c r="D58" s="1"/>
      <c r="E58" s="1"/>
      <c r="F58" s="1"/>
      <c r="G58" s="1"/>
      <c r="H58" s="1"/>
      <c r="I58" s="1"/>
      <c r="J58" s="1"/>
      <c r="K58" s="1"/>
      <c r="L58" s="341">
        <v>0</v>
      </c>
      <c r="M58" s="341">
        <v>0</v>
      </c>
      <c r="N58" s="341">
        <v>0</v>
      </c>
      <c r="O58" s="341">
        <v>0</v>
      </c>
      <c r="P58" s="341">
        <v>0</v>
      </c>
      <c r="Q58" s="341">
        <v>0</v>
      </c>
      <c r="R58" s="341">
        <v>0</v>
      </c>
      <c r="S58" s="341">
        <v>0</v>
      </c>
      <c r="T58" s="350">
        <v>1828.7625555</v>
      </c>
      <c r="U58" s="350">
        <v>1368.059839065</v>
      </c>
      <c r="V58" s="350">
        <v>1634.9100057700002</v>
      </c>
      <c r="W58" s="350">
        <v>1476.4061592600003</v>
      </c>
      <c r="X58" s="350">
        <v>1684.8023730000002</v>
      </c>
      <c r="Y58" s="350">
        <f>AE58</f>
        <v>1595.8187049999999</v>
      </c>
      <c r="Z58" s="350"/>
      <c r="AA58" s="469"/>
      <c r="AB58" s="350">
        <v>373.676963</v>
      </c>
      <c r="AC58" s="350">
        <v>717.73543700000005</v>
      </c>
      <c r="AD58" s="350">
        <v>1142.3132879999998</v>
      </c>
      <c r="AE58" s="350">
        <v>1595.8187049999999</v>
      </c>
      <c r="AF58" s="350">
        <v>545.08643599999994</v>
      </c>
      <c r="AG58" s="472"/>
      <c r="AH58" s="472"/>
      <c r="AI58" s="472"/>
      <c r="AJ58" s="385"/>
      <c r="AK58" s="350">
        <f>AB58</f>
        <v>373.676963</v>
      </c>
      <c r="AL58" s="350">
        <f t="shared" si="30"/>
        <v>344.05847400000005</v>
      </c>
      <c r="AM58" s="350">
        <f t="shared" si="30"/>
        <v>424.57785099999978</v>
      </c>
      <c r="AN58" s="350">
        <f t="shared" si="30"/>
        <v>453.50541700000008</v>
      </c>
      <c r="AO58" s="350">
        <f>AF58</f>
        <v>545.08643599999994</v>
      </c>
      <c r="AP58" s="350"/>
      <c r="AQ58" s="350"/>
      <c r="AR58" s="350"/>
    </row>
    <row r="59" spans="2:66" x14ac:dyDescent="0.25">
      <c r="B59" s="1" t="s">
        <v>39</v>
      </c>
      <c r="C59" s="1"/>
      <c r="D59" s="1"/>
      <c r="E59" s="1"/>
      <c r="F59" s="1"/>
      <c r="G59" s="1"/>
      <c r="H59" s="1"/>
      <c r="I59" s="1"/>
      <c r="J59" s="1"/>
      <c r="K59" s="1"/>
      <c r="L59" s="346" t="e">
        <f>#REF!</f>
        <v>#REF!</v>
      </c>
      <c r="M59" s="346" t="e">
        <f>#REF!</f>
        <v>#REF!</v>
      </c>
      <c r="N59" s="346" t="e">
        <f>#REF!</f>
        <v>#REF!</v>
      </c>
      <c r="O59" s="346" t="e">
        <f>#REF!</f>
        <v>#REF!</v>
      </c>
      <c r="P59" s="346" t="e">
        <f>#REF!</f>
        <v>#REF!</v>
      </c>
      <c r="Q59" s="346" t="e">
        <f>#REF!</f>
        <v>#REF!</v>
      </c>
      <c r="R59" s="346" t="e">
        <f>#REF!</f>
        <v>#REF!</v>
      </c>
      <c r="S59" s="346" t="e">
        <f>#REF!</f>
        <v>#REF!</v>
      </c>
      <c r="T59" s="346">
        <v>5594.2266211395499</v>
      </c>
      <c r="U59" s="346">
        <v>4128.8195792623801</v>
      </c>
      <c r="V59" s="346">
        <v>5543.4779999999992</v>
      </c>
      <c r="W59" s="346">
        <v>5478.2131253270009</v>
      </c>
      <c r="X59" s="346">
        <v>5731.2173551339993</v>
      </c>
      <c r="Y59" s="346">
        <f>AE59</f>
        <v>4293.9924029229996</v>
      </c>
      <c r="Z59" s="346"/>
      <c r="AA59" s="469"/>
      <c r="AB59" s="346">
        <v>1534.1454278440001</v>
      </c>
      <c r="AC59" s="346">
        <v>2467.8856770509997</v>
      </c>
      <c r="AD59" s="346">
        <v>3328.5894701009997</v>
      </c>
      <c r="AE59" s="346">
        <v>4293.9924029229996</v>
      </c>
      <c r="AF59" s="346">
        <v>2111.4403963919999</v>
      </c>
      <c r="AG59" s="472"/>
      <c r="AH59" s="472"/>
      <c r="AI59" s="472"/>
      <c r="AJ59" s="385"/>
      <c r="AK59" s="310"/>
      <c r="AL59" s="310"/>
      <c r="AM59" s="310"/>
      <c r="AN59" s="310"/>
      <c r="AO59" s="310"/>
      <c r="AP59" s="310"/>
      <c r="AQ59" s="310"/>
      <c r="AR59" s="310"/>
    </row>
    <row r="60" spans="2:66" x14ac:dyDescent="0.25">
      <c r="B60" s="32"/>
      <c r="C60" s="32"/>
      <c r="D60" s="32"/>
      <c r="E60" s="32"/>
      <c r="F60" s="32"/>
      <c r="G60" s="32"/>
      <c r="H60" s="32"/>
      <c r="I60" s="32"/>
      <c r="J60" s="32"/>
      <c r="K60" s="32"/>
      <c r="L60" s="251"/>
      <c r="M60" s="251"/>
      <c r="N60" s="251"/>
      <c r="O60" s="251"/>
      <c r="P60" s="251"/>
      <c r="Q60" s="251"/>
      <c r="R60" s="251"/>
      <c r="S60" s="251"/>
      <c r="T60" s="348"/>
      <c r="U60" s="348"/>
      <c r="V60" s="348"/>
      <c r="AA60" s="333"/>
      <c r="AB60" s="348"/>
      <c r="AC60" s="348"/>
      <c r="AD60" s="348"/>
      <c r="AE60" s="348"/>
      <c r="AK60" s="313"/>
      <c r="AL60" s="313"/>
      <c r="AM60" s="313"/>
      <c r="AN60" s="313"/>
      <c r="AO60" s="313"/>
      <c r="AP60" s="313"/>
      <c r="AQ60" s="313"/>
      <c r="AR60" s="313"/>
    </row>
    <row r="61" spans="2:66" x14ac:dyDescent="0.25">
      <c r="B61" s="164" t="s">
        <v>300</v>
      </c>
      <c r="C61" s="183"/>
      <c r="D61" s="183"/>
      <c r="E61" s="183"/>
      <c r="F61" s="183"/>
      <c r="G61" s="183"/>
      <c r="H61" s="183"/>
      <c r="I61" s="183"/>
      <c r="J61" s="183"/>
      <c r="K61" s="183"/>
      <c r="L61" s="183"/>
      <c r="M61" s="183"/>
      <c r="N61" s="183"/>
      <c r="O61" s="183"/>
      <c r="P61" s="183"/>
      <c r="Q61" s="183"/>
      <c r="R61" s="183"/>
      <c r="S61" s="183"/>
      <c r="T61" s="228">
        <v>2018</v>
      </c>
      <c r="U61" s="228">
        <v>2019</v>
      </c>
      <c r="V61" s="228">
        <v>2020</v>
      </c>
      <c r="W61" s="228">
        <v>2021</v>
      </c>
      <c r="X61" s="228">
        <v>2022</v>
      </c>
      <c r="Y61" s="229">
        <v>2023</v>
      </c>
      <c r="Z61" s="230">
        <v>2024</v>
      </c>
      <c r="AB61" s="231" t="s">
        <v>291</v>
      </c>
      <c r="AC61" s="231" t="s">
        <v>292</v>
      </c>
      <c r="AD61" s="231" t="s">
        <v>293</v>
      </c>
      <c r="AE61" s="231">
        <v>2023</v>
      </c>
      <c r="AF61" s="232" t="s">
        <v>318</v>
      </c>
      <c r="AG61" s="232" t="s">
        <v>319</v>
      </c>
      <c r="AH61" s="232" t="s">
        <v>320</v>
      </c>
      <c r="AI61" s="232">
        <v>2024</v>
      </c>
      <c r="AK61" s="227"/>
      <c r="AL61" s="227"/>
      <c r="AM61" s="227"/>
      <c r="AN61" s="227"/>
      <c r="AO61" s="227"/>
      <c r="AP61" s="227"/>
      <c r="AQ61" s="227"/>
      <c r="AR61" s="227"/>
      <c r="AS61" s="227"/>
      <c r="AT61" s="227"/>
      <c r="AU61" s="227"/>
      <c r="BF61"/>
      <c r="BG61"/>
      <c r="BH61"/>
      <c r="BI61"/>
      <c r="BJ61"/>
      <c r="BK61"/>
      <c r="BL61"/>
      <c r="BM61"/>
      <c r="BN61"/>
    </row>
    <row r="62" spans="2:66" x14ac:dyDescent="0.25">
      <c r="B62" s="18" t="s">
        <v>429</v>
      </c>
      <c r="C62" s="18"/>
      <c r="D62" s="18"/>
      <c r="E62" s="18"/>
      <c r="F62" s="18"/>
      <c r="G62" s="18"/>
      <c r="H62" s="18"/>
      <c r="I62" s="18"/>
      <c r="J62" s="18"/>
      <c r="K62" s="18"/>
      <c r="L62" s="18"/>
      <c r="M62" s="18"/>
      <c r="N62" s="18"/>
      <c r="O62" s="18"/>
      <c r="P62" s="18"/>
      <c r="Q62" s="18"/>
      <c r="R62" s="18"/>
      <c r="S62" s="18"/>
      <c r="T62" s="237">
        <v>24.308202764976954</v>
      </c>
      <c r="U62" s="237">
        <v>15.473333333333331</v>
      </c>
      <c r="V62" s="237">
        <v>33.961629283843791</v>
      </c>
      <c r="W62" s="237">
        <v>111.94313427723213</v>
      </c>
      <c r="X62" s="237">
        <v>167.52191666666675</v>
      </c>
      <c r="Y62" s="237">
        <f t="shared" ref="Y62:Y67" si="31">AE62</f>
        <v>87.098423515981722</v>
      </c>
      <c r="Z62" s="237"/>
      <c r="AB62" s="237">
        <v>96.379898100972724</v>
      </c>
      <c r="AC62" s="237">
        <v>88.270508864839982</v>
      </c>
      <c r="AD62" s="237">
        <v>91.059482521752429</v>
      </c>
      <c r="AE62" s="237">
        <v>87.098423515981722</v>
      </c>
      <c r="AF62" s="237">
        <v>44.918240952817243</v>
      </c>
      <c r="AG62" s="237"/>
      <c r="AH62" s="237"/>
      <c r="AI62" s="237"/>
      <c r="AK62" s="237"/>
      <c r="AL62" s="238"/>
      <c r="AM62" s="238"/>
      <c r="AN62" s="238"/>
      <c r="AO62" s="238"/>
      <c r="AP62" s="238"/>
      <c r="AQ62" s="238"/>
      <c r="AR62" s="238"/>
      <c r="BF62"/>
      <c r="BG62"/>
      <c r="BH62"/>
      <c r="BI62"/>
      <c r="BJ62"/>
      <c r="BK62"/>
      <c r="BL62"/>
      <c r="BM62"/>
      <c r="BN62"/>
    </row>
    <row r="63" spans="2:66" x14ac:dyDescent="0.25">
      <c r="B63" s="184" t="s">
        <v>230</v>
      </c>
      <c r="C63" s="184"/>
      <c r="D63" s="184"/>
      <c r="E63" s="184"/>
      <c r="F63" s="184"/>
      <c r="G63" s="184"/>
      <c r="H63" s="184"/>
      <c r="I63" s="184"/>
      <c r="J63" s="184"/>
      <c r="K63" s="184"/>
      <c r="L63" s="184"/>
      <c r="M63" s="184"/>
      <c r="N63" s="184"/>
      <c r="O63" s="184"/>
      <c r="P63" s="184"/>
      <c r="Q63" s="184"/>
      <c r="R63" s="184"/>
      <c r="S63" s="184"/>
      <c r="T63" s="237">
        <v>15.890084830406051</v>
      </c>
      <c r="U63" s="237">
        <v>24.807619094673441</v>
      </c>
      <c r="V63" s="237">
        <v>41.518589120370358</v>
      </c>
      <c r="W63" s="237">
        <v>116.99833333333333</v>
      </c>
      <c r="X63" s="237">
        <v>175.49749999999997</v>
      </c>
      <c r="Y63" s="237">
        <f t="shared" si="31"/>
        <v>97.754416666666671</v>
      </c>
      <c r="Z63" s="237"/>
      <c r="AB63" s="237">
        <v>107.41600000000001</v>
      </c>
      <c r="AC63" s="237">
        <v>107.66266666666667</v>
      </c>
      <c r="AD63" s="237">
        <v>100.86311111111112</v>
      </c>
      <c r="AE63" s="237">
        <v>97.754416666666671</v>
      </c>
      <c r="AF63" s="237">
        <v>55.576333333333331</v>
      </c>
      <c r="AG63" s="237"/>
      <c r="AH63" s="237"/>
      <c r="AI63" s="237"/>
      <c r="AK63" s="237"/>
      <c r="AL63" s="238"/>
      <c r="AM63" s="238"/>
      <c r="AN63" s="238"/>
      <c r="AO63" s="238"/>
      <c r="AP63" s="238"/>
      <c r="AQ63" s="238"/>
      <c r="AR63" s="238"/>
      <c r="BF63"/>
      <c r="BG63"/>
      <c r="BH63"/>
      <c r="BI63"/>
      <c r="BJ63"/>
      <c r="BK63"/>
      <c r="BL63"/>
      <c r="BM63"/>
      <c r="BN63"/>
    </row>
    <row r="64" spans="2:66" x14ac:dyDescent="0.25">
      <c r="B64" s="18" t="s">
        <v>430</v>
      </c>
      <c r="C64" s="18"/>
      <c r="D64" s="18"/>
      <c r="E64" s="18"/>
      <c r="F64" s="18"/>
      <c r="G64" s="18"/>
      <c r="H64" s="18"/>
      <c r="I64" s="18"/>
      <c r="J64" s="18"/>
      <c r="K64" s="18"/>
      <c r="L64" s="18"/>
      <c r="M64" s="18"/>
      <c r="N64" s="18"/>
      <c r="O64" s="18"/>
      <c r="P64" s="18"/>
      <c r="Q64" s="18"/>
      <c r="R64" s="18"/>
      <c r="S64" s="18"/>
      <c r="T64" s="237">
        <v>57.292027297994821</v>
      </c>
      <c r="U64" s="237">
        <v>47.68</v>
      </c>
      <c r="V64" s="237">
        <v>43.993647058823505</v>
      </c>
      <c r="W64" s="237">
        <v>89.335195312500005</v>
      </c>
      <c r="X64" s="237">
        <v>176.04654618473893</v>
      </c>
      <c r="Y64" s="237">
        <f t="shared" si="31"/>
        <v>103.98000000000002</v>
      </c>
      <c r="Z64" s="237"/>
      <c r="AB64" s="237">
        <v>112.14428571428573</v>
      </c>
      <c r="AC64" s="237">
        <v>112.14428571428573</v>
      </c>
      <c r="AD64" s="237">
        <v>104.94797872340425</v>
      </c>
      <c r="AE64" s="237">
        <v>103.98000000000002</v>
      </c>
      <c r="AF64" s="237">
        <v>56.699999999999996</v>
      </c>
      <c r="AG64" s="237"/>
      <c r="AH64" s="237"/>
      <c r="AI64" s="237"/>
      <c r="AK64" s="237"/>
      <c r="AL64" s="238"/>
      <c r="AM64" s="238"/>
      <c r="AN64" s="238"/>
      <c r="AO64" s="238"/>
      <c r="AP64" s="238"/>
      <c r="AQ64" s="238"/>
      <c r="AR64" s="238"/>
      <c r="BF64"/>
      <c r="BG64"/>
      <c r="BH64"/>
      <c r="BI64"/>
      <c r="BJ64"/>
      <c r="BK64"/>
      <c r="BL64"/>
      <c r="BM64"/>
      <c r="BN64"/>
    </row>
    <row r="65" spans="2:66" x14ac:dyDescent="0.25">
      <c r="B65" s="4" t="s">
        <v>431</v>
      </c>
      <c r="C65" s="4"/>
      <c r="D65" s="4"/>
      <c r="E65" s="4"/>
      <c r="F65" s="4"/>
      <c r="G65" s="4"/>
      <c r="H65" s="4"/>
      <c r="I65" s="4"/>
      <c r="J65" s="4"/>
      <c r="K65" s="4"/>
      <c r="L65" s="4"/>
      <c r="M65" s="4"/>
      <c r="N65" s="4"/>
      <c r="O65" s="4"/>
      <c r="P65" s="4"/>
      <c r="Q65" s="4"/>
      <c r="R65" s="4"/>
      <c r="S65" s="4"/>
      <c r="T65" s="237">
        <v>71.035817980683703</v>
      </c>
      <c r="U65" s="237">
        <v>64.304365840077793</v>
      </c>
      <c r="V65" s="237">
        <v>24.711910039839385</v>
      </c>
      <c r="W65" s="237">
        <v>53.242024680030113</v>
      </c>
      <c r="X65" s="237">
        <v>80.820817120622578</v>
      </c>
      <c r="Y65" s="237">
        <f t="shared" si="31"/>
        <v>83.462823529411764</v>
      </c>
      <c r="Z65" s="237"/>
      <c r="AB65" s="237">
        <v>86.904307692307711</v>
      </c>
      <c r="AC65" s="237">
        <v>86.613070866141726</v>
      </c>
      <c r="AD65" s="237">
        <v>85.86145833333336</v>
      </c>
      <c r="AE65" s="237">
        <v>83.462823529411764</v>
      </c>
      <c r="AF65" s="237">
        <v>59.599523809523838</v>
      </c>
      <c r="AG65" s="237"/>
      <c r="AH65" s="237"/>
      <c r="AI65" s="237"/>
      <c r="AK65" s="237"/>
      <c r="AL65" s="238"/>
      <c r="AM65" s="238"/>
      <c r="AN65" s="238"/>
      <c r="AO65" s="238"/>
      <c r="AP65" s="238"/>
      <c r="AQ65" s="238"/>
      <c r="AR65" s="238"/>
      <c r="BF65"/>
      <c r="BG65"/>
      <c r="BH65"/>
      <c r="BI65"/>
      <c r="BJ65"/>
      <c r="BK65"/>
      <c r="BL65"/>
      <c r="BM65"/>
      <c r="BN65"/>
    </row>
    <row r="66" spans="2:66" x14ac:dyDescent="0.25">
      <c r="B66" s="4" t="s">
        <v>432</v>
      </c>
      <c r="C66" s="4"/>
      <c r="D66" s="4"/>
      <c r="E66" s="4"/>
      <c r="F66" s="4"/>
      <c r="G66" s="4"/>
      <c r="H66" s="4"/>
      <c r="I66" s="4"/>
      <c r="J66" s="4"/>
      <c r="K66" s="4"/>
      <c r="L66" s="4"/>
      <c r="M66" s="4"/>
      <c r="N66" s="4"/>
      <c r="O66" s="4"/>
      <c r="P66" s="4"/>
      <c r="Q66" s="4"/>
      <c r="R66" s="4"/>
      <c r="S66" s="4"/>
      <c r="T66" s="237">
        <v>63.498333333333335</v>
      </c>
      <c r="U66" s="237">
        <v>52.534166666666664</v>
      </c>
      <c r="V66" s="237">
        <v>10.2125</v>
      </c>
      <c r="W66" s="237">
        <v>47.298319892473131</v>
      </c>
      <c r="X66" s="237">
        <v>98.65594086021504</v>
      </c>
      <c r="Y66" s="237">
        <f t="shared" si="31"/>
        <v>39.066633512544811</v>
      </c>
      <c r="Z66" s="237"/>
      <c r="AB66" s="237">
        <v>51.673333333333325</v>
      </c>
      <c r="AC66" s="237">
        <v>42.041600358422947</v>
      </c>
      <c r="AD66" s="237">
        <v>39.236622461170853</v>
      </c>
      <c r="AE66" s="237">
        <v>39.066633512544811</v>
      </c>
      <c r="AF66" s="237">
        <v>27.330000000000002</v>
      </c>
      <c r="AG66" s="237"/>
      <c r="AH66" s="237"/>
      <c r="AI66" s="237"/>
      <c r="AK66" s="237"/>
      <c r="AL66" s="238"/>
      <c r="AM66" s="238"/>
      <c r="AN66" s="238"/>
      <c r="AO66" s="238"/>
      <c r="AP66" s="238"/>
      <c r="AQ66" s="238"/>
      <c r="AR66" s="238"/>
      <c r="BF66"/>
      <c r="BG66"/>
      <c r="BH66"/>
      <c r="BI66"/>
      <c r="BJ66"/>
      <c r="BK66"/>
      <c r="BL66"/>
      <c r="BM66"/>
      <c r="BN66"/>
    </row>
    <row r="67" spans="2:66" x14ac:dyDescent="0.25">
      <c r="B67" s="18" t="s">
        <v>433</v>
      </c>
      <c r="C67" s="18"/>
      <c r="D67" s="18"/>
      <c r="E67" s="18"/>
      <c r="F67" s="18"/>
      <c r="G67" s="18"/>
      <c r="H67" s="18"/>
      <c r="I67" s="18"/>
      <c r="J67" s="18"/>
      <c r="K67" s="18"/>
      <c r="L67" s="18"/>
      <c r="M67" s="18"/>
      <c r="N67" s="18"/>
      <c r="O67" s="18"/>
      <c r="P67" s="18"/>
      <c r="Q67" s="18"/>
      <c r="R67" s="18"/>
      <c r="S67" s="18"/>
      <c r="T67" s="237">
        <v>61.015873015873005</v>
      </c>
      <c r="U67" s="237">
        <v>54.728174603174594</v>
      </c>
      <c r="V67" s="237">
        <v>41.153074695088058</v>
      </c>
      <c r="W67" s="237">
        <v>70.732625164277621</v>
      </c>
      <c r="X67" s="237">
        <v>123.3</v>
      </c>
      <c r="Y67" s="237">
        <f t="shared" si="31"/>
        <v>40.776002450980371</v>
      </c>
      <c r="Z67" s="237"/>
      <c r="AB67" s="237">
        <v>53.299095303030306</v>
      </c>
      <c r="AC67" s="237">
        <v>44.533596835937516</v>
      </c>
      <c r="AD67" s="237">
        <v>40.722580338541654</v>
      </c>
      <c r="AE67" s="237">
        <v>40.776002450980371</v>
      </c>
      <c r="AF67" s="237">
        <v>27.405555555555551</v>
      </c>
      <c r="AG67" s="237"/>
      <c r="AH67" s="237"/>
      <c r="AI67" s="237"/>
      <c r="AK67" s="237"/>
      <c r="AL67" s="238"/>
      <c r="AM67" s="238"/>
      <c r="AN67" s="238"/>
      <c r="AO67" s="238"/>
      <c r="AP67" s="238"/>
      <c r="AQ67" s="238"/>
      <c r="AR67" s="238"/>
      <c r="BF67"/>
      <c r="BG67"/>
      <c r="BH67"/>
      <c r="BI67"/>
      <c r="BJ67"/>
      <c r="BK67"/>
      <c r="BL67"/>
      <c r="BM67"/>
      <c r="BN67"/>
    </row>
    <row r="69" spans="2:66" s="223" customFormat="1" x14ac:dyDescent="0.25">
      <c r="B69" s="164" t="s">
        <v>301</v>
      </c>
      <c r="C69" s="164"/>
      <c r="D69" s="164"/>
      <c r="E69" s="164"/>
      <c r="F69" s="164"/>
      <c r="G69" s="164"/>
      <c r="H69" s="164"/>
      <c r="I69" s="164"/>
      <c r="J69" s="164"/>
      <c r="K69" s="164"/>
      <c r="L69" s="164"/>
      <c r="M69" s="164"/>
      <c r="N69" s="164"/>
      <c r="O69" s="164"/>
      <c r="P69" s="164"/>
      <c r="Q69" s="164"/>
      <c r="R69" s="164"/>
      <c r="S69" s="164"/>
      <c r="T69" s="228">
        <v>2018</v>
      </c>
      <c r="U69" s="228">
        <v>2019</v>
      </c>
      <c r="V69" s="228">
        <v>2020</v>
      </c>
      <c r="W69" s="228">
        <v>2021</v>
      </c>
      <c r="X69" s="228">
        <v>2022</v>
      </c>
      <c r="Y69" s="229">
        <v>2023</v>
      </c>
      <c r="Z69" s="230">
        <v>2024</v>
      </c>
      <c r="AB69" s="231" t="s">
        <v>291</v>
      </c>
      <c r="AC69" s="231" t="s">
        <v>292</v>
      </c>
      <c r="AD69" s="231" t="s">
        <v>293</v>
      </c>
      <c r="AE69" s="231">
        <v>2023</v>
      </c>
      <c r="AF69" s="232" t="s">
        <v>318</v>
      </c>
      <c r="AG69" s="232" t="s">
        <v>319</v>
      </c>
      <c r="AH69" s="232" t="s">
        <v>320</v>
      </c>
      <c r="AI69" s="232">
        <v>2024</v>
      </c>
      <c r="AK69" s="231" t="s">
        <v>291</v>
      </c>
      <c r="AL69" s="231" t="s">
        <v>296</v>
      </c>
      <c r="AM69" s="231" t="s">
        <v>294</v>
      </c>
      <c r="AN69" s="231" t="s">
        <v>295</v>
      </c>
      <c r="AO69" s="232" t="s">
        <v>318</v>
      </c>
      <c r="AP69" s="232" t="s">
        <v>321</v>
      </c>
      <c r="AQ69" s="232" t="s">
        <v>322</v>
      </c>
      <c r="AR69" s="232" t="s">
        <v>323</v>
      </c>
      <c r="AS69" s="227"/>
      <c r="AT69" s="227"/>
      <c r="AU69" s="227"/>
      <c r="BF69"/>
      <c r="BG69"/>
      <c r="BH69"/>
      <c r="BI69"/>
      <c r="BJ69"/>
      <c r="BK69"/>
      <c r="BL69"/>
      <c r="BM69"/>
      <c r="BN69"/>
    </row>
    <row r="70" spans="2:66" s="223" customFormat="1" x14ac:dyDescent="0.25">
      <c r="B70" s="10" t="s">
        <v>434</v>
      </c>
      <c r="C70" s="10"/>
      <c r="D70" s="10"/>
      <c r="E70" s="10"/>
      <c r="F70" s="10"/>
      <c r="G70" s="10"/>
      <c r="H70" s="10"/>
      <c r="I70" s="10"/>
      <c r="J70" s="10"/>
      <c r="K70" s="10"/>
      <c r="L70" s="10"/>
      <c r="M70" s="10"/>
      <c r="N70" s="10"/>
      <c r="O70" s="10"/>
      <c r="P70" s="10"/>
      <c r="Q70" s="10"/>
      <c r="R70" s="10"/>
      <c r="S70" s="10"/>
      <c r="T70" s="261"/>
      <c r="U70" s="261"/>
      <c r="W70" s="261"/>
      <c r="X70" s="261"/>
      <c r="Y70" s="261"/>
      <c r="Z70" s="261"/>
      <c r="BF70"/>
      <c r="BG70"/>
      <c r="BH70"/>
      <c r="BI70"/>
      <c r="BJ70"/>
      <c r="BK70"/>
      <c r="BL70"/>
      <c r="BM70"/>
      <c r="BN70"/>
    </row>
    <row r="71" spans="2:66" s="223" customFormat="1" x14ac:dyDescent="0.25">
      <c r="B71" s="34" t="s">
        <v>161</v>
      </c>
      <c r="C71" s="34"/>
      <c r="D71" s="34"/>
      <c r="E71" s="34"/>
      <c r="F71" s="34"/>
      <c r="G71" s="34"/>
      <c r="H71" s="34"/>
      <c r="I71" s="34"/>
      <c r="J71" s="34"/>
      <c r="K71" s="34"/>
      <c r="L71" s="34"/>
      <c r="M71" s="34"/>
      <c r="N71" s="34"/>
      <c r="O71" s="34"/>
      <c r="P71" s="34"/>
      <c r="Q71" s="34"/>
      <c r="R71" s="34"/>
      <c r="S71" s="34"/>
      <c r="T71" s="341">
        <v>5272.5569999999998</v>
      </c>
      <c r="U71" s="341">
        <v>5270.0910000000003</v>
      </c>
      <c r="V71" s="341">
        <v>5020.29</v>
      </c>
      <c r="W71" s="341">
        <v>4974.0190000000002</v>
      </c>
      <c r="X71" s="341">
        <v>4908.5349999999999</v>
      </c>
      <c r="Y71" s="341">
        <f t="shared" ref="Y71:Y80" si="32">AE71</f>
        <v>4698.9879999999994</v>
      </c>
      <c r="Z71" s="341"/>
      <c r="AB71" s="517">
        <v>4874</v>
      </c>
      <c r="AC71" s="341">
        <v>4829.2959999999994</v>
      </c>
      <c r="AD71" s="341">
        <v>4774.3959999999997</v>
      </c>
      <c r="AE71" s="341">
        <v>4698.9879999999994</v>
      </c>
      <c r="AF71" s="341">
        <v>4603.125</v>
      </c>
      <c r="AG71" s="341"/>
      <c r="AH71" s="341"/>
      <c r="AI71" s="341"/>
      <c r="AK71" s="341"/>
      <c r="AL71" s="352"/>
      <c r="AM71" s="352"/>
      <c r="AN71" s="352"/>
      <c r="AO71" s="352"/>
      <c r="AP71" s="352"/>
      <c r="AQ71" s="352"/>
      <c r="AR71" s="352"/>
      <c r="BF71"/>
      <c r="BG71"/>
      <c r="BH71"/>
      <c r="BI71"/>
      <c r="BJ71"/>
      <c r="BK71"/>
      <c r="BL71"/>
      <c r="BM71"/>
      <c r="BN71"/>
    </row>
    <row r="72" spans="2:66" s="223" customFormat="1" x14ac:dyDescent="0.25">
      <c r="B72" s="9" t="s">
        <v>435</v>
      </c>
      <c r="C72" s="9"/>
      <c r="D72" s="9"/>
      <c r="E72" s="9"/>
      <c r="F72" s="9"/>
      <c r="G72" s="9"/>
      <c r="H72" s="9"/>
      <c r="I72" s="9"/>
      <c r="J72" s="9"/>
      <c r="K72" s="9"/>
      <c r="L72" s="9"/>
      <c r="M72" s="9"/>
      <c r="N72" s="9"/>
      <c r="O72" s="9"/>
      <c r="P72" s="9"/>
      <c r="Q72" s="9"/>
      <c r="R72" s="9"/>
      <c r="S72" s="9"/>
      <c r="T72" s="394">
        <v>4118.6099999999997</v>
      </c>
      <c r="U72" s="394">
        <v>4103.9040000000005</v>
      </c>
      <c r="V72" s="308">
        <v>4033.1669999999999</v>
      </c>
      <c r="W72" s="308">
        <v>4021.7919999999999</v>
      </c>
      <c r="X72" s="308">
        <v>3915.5360000000001</v>
      </c>
      <c r="Y72" s="394">
        <f t="shared" si="32"/>
        <v>3753.4470000000001</v>
      </c>
      <c r="Z72" s="394"/>
      <c r="AB72" s="521">
        <v>3881</v>
      </c>
      <c r="AC72" s="308">
        <v>3853.9589999999998</v>
      </c>
      <c r="AD72" s="308">
        <v>3815.2109999999998</v>
      </c>
      <c r="AE72" s="308">
        <v>3753.4470000000001</v>
      </c>
      <c r="AF72" s="501">
        <v>3682.0169999999998</v>
      </c>
      <c r="AG72" s="308"/>
      <c r="AH72" s="308"/>
      <c r="AI72" s="308"/>
      <c r="AK72" s="308"/>
      <c r="AL72" s="394"/>
      <c r="AM72" s="394"/>
      <c r="AN72" s="394"/>
      <c r="AO72" s="394"/>
      <c r="AP72" s="394"/>
      <c r="AQ72" s="394"/>
      <c r="AR72" s="394"/>
      <c r="BF72"/>
      <c r="BG72"/>
      <c r="BH72"/>
      <c r="BI72"/>
      <c r="BJ72"/>
      <c r="BK72"/>
      <c r="BL72"/>
      <c r="BM72"/>
      <c r="BN72"/>
    </row>
    <row r="73" spans="2:66" s="223" customFormat="1" x14ac:dyDescent="0.25">
      <c r="B73" s="9" t="s">
        <v>436</v>
      </c>
      <c r="C73" s="9"/>
      <c r="D73" s="9"/>
      <c r="E73" s="9"/>
      <c r="F73" s="9"/>
      <c r="G73" s="9"/>
      <c r="H73" s="9"/>
      <c r="I73" s="9"/>
      <c r="J73" s="9"/>
      <c r="K73" s="9"/>
      <c r="L73" s="9"/>
      <c r="M73" s="9"/>
      <c r="N73" s="9"/>
      <c r="O73" s="9"/>
      <c r="P73" s="9"/>
      <c r="Q73" s="9"/>
      <c r="R73" s="9"/>
      <c r="S73" s="9"/>
      <c r="T73" s="394">
        <v>0</v>
      </c>
      <c r="U73" s="394">
        <v>0</v>
      </c>
      <c r="V73" s="308">
        <v>965.48800000000006</v>
      </c>
      <c r="W73" s="308">
        <v>930.178</v>
      </c>
      <c r="X73" s="308">
        <v>972.94899999999996</v>
      </c>
      <c r="Y73" s="394">
        <f t="shared" si="32"/>
        <v>926.65899999999999</v>
      </c>
      <c r="Z73" s="394"/>
      <c r="AB73" s="308">
        <v>975.10699999999997</v>
      </c>
      <c r="AC73" s="308">
        <v>957.09199999999998</v>
      </c>
      <c r="AD73" s="308">
        <v>940.66300000000001</v>
      </c>
      <c r="AE73" s="308">
        <v>926.65899999999999</v>
      </c>
      <c r="AF73" s="501">
        <v>902.40099999999995</v>
      </c>
      <c r="AG73" s="308"/>
      <c r="AH73" s="308"/>
      <c r="AI73" s="308"/>
      <c r="AK73" s="308"/>
      <c r="AL73" s="394"/>
      <c r="AM73" s="394"/>
      <c r="AN73" s="394"/>
      <c r="AO73" s="394"/>
      <c r="AP73" s="394"/>
      <c r="AQ73" s="394"/>
      <c r="AR73" s="394"/>
      <c r="BF73"/>
      <c r="BG73"/>
      <c r="BH73"/>
      <c r="BI73"/>
      <c r="BJ73"/>
      <c r="BK73"/>
      <c r="BL73"/>
      <c r="BM73"/>
      <c r="BN73"/>
    </row>
    <row r="74" spans="2:66" s="223" customFormat="1" x14ac:dyDescent="0.25">
      <c r="B74" s="9" t="s">
        <v>437</v>
      </c>
      <c r="C74" s="9"/>
      <c r="D74" s="9"/>
      <c r="E74" s="9"/>
      <c r="F74" s="9"/>
      <c r="G74" s="9"/>
      <c r="H74" s="9"/>
      <c r="I74" s="9"/>
      <c r="J74" s="9"/>
      <c r="K74" s="9"/>
      <c r="L74" s="9"/>
      <c r="M74" s="9"/>
      <c r="N74" s="9"/>
      <c r="O74" s="9"/>
      <c r="P74" s="9"/>
      <c r="Q74" s="9"/>
      <c r="R74" s="9"/>
      <c r="S74" s="9"/>
      <c r="T74" s="394">
        <v>1153.9469999999999</v>
      </c>
      <c r="U74" s="394">
        <v>1166.1869999999999</v>
      </c>
      <c r="V74" s="308">
        <v>21.635000000000002</v>
      </c>
      <c r="W74" s="308">
        <v>22.048999999999999</v>
      </c>
      <c r="X74" s="308">
        <v>20.05</v>
      </c>
      <c r="Y74" s="394">
        <f t="shared" si="32"/>
        <v>18.882000000000001</v>
      </c>
      <c r="Z74" s="394"/>
      <c r="AB74" s="308">
        <v>18.657</v>
      </c>
      <c r="AC74" s="308">
        <v>18.245000000000001</v>
      </c>
      <c r="AD74" s="308">
        <v>18.521999999999998</v>
      </c>
      <c r="AE74" s="308">
        <v>18.882000000000001</v>
      </c>
      <c r="AF74" s="501">
        <v>18.707000000000001</v>
      </c>
      <c r="AG74" s="308"/>
      <c r="AH74" s="308"/>
      <c r="AI74" s="308"/>
      <c r="AK74" s="308"/>
      <c r="AL74" s="308"/>
      <c r="AM74" s="308"/>
      <c r="AN74" s="308"/>
      <c r="AO74" s="308"/>
      <c r="AP74" s="308"/>
      <c r="AQ74" s="308"/>
      <c r="AR74" s="308"/>
      <c r="BF74"/>
      <c r="BG74"/>
      <c r="BH74"/>
      <c r="BI74"/>
      <c r="BJ74"/>
      <c r="BK74"/>
      <c r="BL74"/>
      <c r="BM74"/>
      <c r="BN74"/>
    </row>
    <row r="75" spans="2:66" s="223" customFormat="1" x14ac:dyDescent="0.25">
      <c r="B75" s="34" t="s">
        <v>438</v>
      </c>
      <c r="C75" s="34"/>
      <c r="D75" s="34"/>
      <c r="E75" s="34"/>
      <c r="F75" s="34"/>
      <c r="G75" s="34"/>
      <c r="H75" s="34"/>
      <c r="I75" s="34"/>
      <c r="J75" s="34"/>
      <c r="K75" s="34"/>
      <c r="L75" s="34"/>
      <c r="M75" s="34"/>
      <c r="N75" s="34"/>
      <c r="O75" s="34"/>
      <c r="P75" s="34"/>
      <c r="Q75" s="34"/>
      <c r="R75" s="34"/>
      <c r="S75" s="34"/>
      <c r="T75" s="341">
        <v>1554.7739999999999</v>
      </c>
      <c r="U75" s="341">
        <v>1561.7820000000002</v>
      </c>
      <c r="V75" s="341">
        <v>691.83900000000006</v>
      </c>
      <c r="W75" s="341">
        <v>686.70900000000006</v>
      </c>
      <c r="X75" s="341">
        <v>631.47399999999993</v>
      </c>
      <c r="Y75" s="341">
        <f t="shared" si="32"/>
        <v>590.94799999999998</v>
      </c>
      <c r="Z75" s="341"/>
      <c r="AB75" s="341">
        <v>608.96500000000003</v>
      </c>
      <c r="AC75" s="341">
        <v>602.27599999999995</v>
      </c>
      <c r="AD75" s="341">
        <v>597.77</v>
      </c>
      <c r="AE75" s="341">
        <v>590.94799999999998</v>
      </c>
      <c r="AF75" s="341">
        <v>579.33529654000006</v>
      </c>
      <c r="AG75" s="341"/>
      <c r="AH75" s="341"/>
      <c r="AI75" s="341"/>
      <c r="AK75" s="341"/>
      <c r="AL75" s="341"/>
      <c r="AM75" s="341"/>
      <c r="AN75" s="341"/>
      <c r="AO75" s="341"/>
      <c r="AP75" s="341"/>
      <c r="AQ75" s="341"/>
      <c r="AR75" s="341"/>
      <c r="BF75"/>
      <c r="BG75"/>
      <c r="BH75"/>
      <c r="BI75"/>
      <c r="BJ75"/>
      <c r="BK75"/>
      <c r="BL75"/>
      <c r="BM75"/>
      <c r="BN75"/>
    </row>
    <row r="76" spans="2:66" s="223" customFormat="1" x14ac:dyDescent="0.25">
      <c r="B76" s="43" t="s">
        <v>435</v>
      </c>
      <c r="C76" s="43"/>
      <c r="D76" s="43"/>
      <c r="E76" s="43"/>
      <c r="F76" s="43"/>
      <c r="G76" s="43"/>
      <c r="H76" s="43"/>
      <c r="I76" s="43"/>
      <c r="J76" s="43"/>
      <c r="K76" s="43"/>
      <c r="L76" s="43"/>
      <c r="M76" s="43"/>
      <c r="N76" s="43"/>
      <c r="O76" s="43"/>
      <c r="P76" s="43"/>
      <c r="Q76" s="43"/>
      <c r="R76" s="43"/>
      <c r="S76" s="43"/>
      <c r="T76" s="394">
        <v>659.48500000000001</v>
      </c>
      <c r="U76" s="394">
        <v>658.601</v>
      </c>
      <c r="V76" s="308">
        <v>651.86500000000001</v>
      </c>
      <c r="W76" s="308">
        <v>650.04200000000003</v>
      </c>
      <c r="X76" s="308">
        <v>550.78099999999995</v>
      </c>
      <c r="Y76" s="394">
        <f t="shared" si="32"/>
        <v>480.17899999999997</v>
      </c>
      <c r="Z76" s="394"/>
      <c r="AB76" s="308">
        <v>505.25</v>
      </c>
      <c r="AC76" s="308">
        <v>492.52199999999999</v>
      </c>
      <c r="AD76" s="308">
        <v>487.50099999999998</v>
      </c>
      <c r="AE76" s="308">
        <v>480.17899999999997</v>
      </c>
      <c r="AF76" s="501">
        <v>466.92329654000002</v>
      </c>
      <c r="AG76" s="308"/>
      <c r="AH76" s="308"/>
      <c r="AI76" s="308"/>
      <c r="AK76" s="308"/>
      <c r="AL76" s="308"/>
      <c r="AM76" s="308"/>
      <c r="AN76" s="308"/>
      <c r="AO76" s="308"/>
      <c r="AP76" s="308"/>
      <c r="AQ76" s="308"/>
      <c r="AR76" s="308"/>
      <c r="BF76"/>
      <c r="BG76"/>
      <c r="BH76"/>
      <c r="BI76"/>
      <c r="BJ76"/>
      <c r="BK76"/>
      <c r="BL76"/>
      <c r="BM76"/>
      <c r="BN76"/>
    </row>
    <row r="77" spans="2:66" s="223" customFormat="1" x14ac:dyDescent="0.25">
      <c r="B77" s="43" t="s">
        <v>436</v>
      </c>
      <c r="C77" s="43"/>
      <c r="D77" s="43"/>
      <c r="E77" s="43"/>
      <c r="F77" s="43"/>
      <c r="G77" s="43"/>
      <c r="H77" s="43"/>
      <c r="I77" s="43"/>
      <c r="J77" s="43"/>
      <c r="K77" s="43"/>
      <c r="L77" s="43"/>
      <c r="M77" s="43"/>
      <c r="N77" s="43"/>
      <c r="O77" s="43"/>
      <c r="P77" s="43"/>
      <c r="Q77" s="43"/>
      <c r="R77" s="43"/>
      <c r="S77" s="43"/>
      <c r="T77" s="394" t="s">
        <v>17</v>
      </c>
      <c r="U77" s="394" t="s">
        <v>17</v>
      </c>
      <c r="V77" s="308">
        <v>34.417999999999999</v>
      </c>
      <c r="W77" s="308">
        <v>32.274000000000001</v>
      </c>
      <c r="X77" s="308">
        <v>77.11</v>
      </c>
      <c r="Y77" s="394">
        <f t="shared" si="32"/>
        <v>107.95699999999999</v>
      </c>
      <c r="Z77" s="394"/>
      <c r="AB77" s="308">
        <v>100.73</v>
      </c>
      <c r="AC77" s="308">
        <v>106.452</v>
      </c>
      <c r="AD77" s="308">
        <v>107.386</v>
      </c>
      <c r="AE77" s="308">
        <v>107.95699999999999</v>
      </c>
      <c r="AF77" s="501">
        <v>109.69199999999999</v>
      </c>
      <c r="AG77" s="308"/>
      <c r="AH77" s="308"/>
      <c r="AI77" s="308"/>
      <c r="AK77" s="308"/>
      <c r="AL77" s="308"/>
      <c r="AM77" s="308"/>
      <c r="AN77" s="308"/>
      <c r="AO77" s="308"/>
      <c r="AP77" s="308"/>
      <c r="AQ77" s="308"/>
      <c r="AR77" s="308"/>
      <c r="BF77"/>
      <c r="BG77"/>
      <c r="BH77"/>
      <c r="BI77"/>
      <c r="BJ77"/>
      <c r="BK77"/>
      <c r="BL77"/>
      <c r="BM77"/>
      <c r="BN77"/>
    </row>
    <row r="78" spans="2:66" s="223" customFormat="1" x14ac:dyDescent="0.25">
      <c r="B78" s="43" t="s">
        <v>437</v>
      </c>
      <c r="C78" s="43"/>
      <c r="D78" s="43"/>
      <c r="E78" s="43"/>
      <c r="F78" s="43"/>
      <c r="G78" s="43"/>
      <c r="H78" s="43"/>
      <c r="I78" s="43"/>
      <c r="J78" s="43"/>
      <c r="K78" s="43"/>
      <c r="L78" s="43"/>
      <c r="M78" s="43"/>
      <c r="N78" s="43"/>
      <c r="O78" s="43"/>
      <c r="P78" s="43"/>
      <c r="Q78" s="43"/>
      <c r="R78" s="43"/>
      <c r="S78" s="43"/>
      <c r="T78" s="394">
        <v>895.28899999999999</v>
      </c>
      <c r="U78" s="394">
        <v>903.18100000000004</v>
      </c>
      <c r="V78" s="308">
        <v>5.556</v>
      </c>
      <c r="W78" s="308">
        <v>4.3929999999999998</v>
      </c>
      <c r="X78" s="308">
        <v>3.5830000000000002</v>
      </c>
      <c r="Y78" s="394">
        <f t="shared" si="32"/>
        <v>2.8119999999999998</v>
      </c>
      <c r="Z78" s="394"/>
      <c r="AB78" s="308">
        <v>2.9849999999999999</v>
      </c>
      <c r="AC78" s="308">
        <v>3.302</v>
      </c>
      <c r="AD78" s="308">
        <v>2.883</v>
      </c>
      <c r="AE78" s="308">
        <v>2.8119999999999998</v>
      </c>
      <c r="AF78" s="501">
        <v>2.72</v>
      </c>
      <c r="AG78" s="308"/>
      <c r="AH78" s="308"/>
      <c r="AI78" s="308"/>
      <c r="AK78" s="308"/>
      <c r="AL78" s="308"/>
      <c r="AM78" s="308"/>
      <c r="AN78" s="308"/>
      <c r="AO78" s="308"/>
      <c r="AP78" s="308"/>
      <c r="AQ78" s="308"/>
      <c r="AR78" s="308"/>
      <c r="BF78"/>
      <c r="BG78"/>
      <c r="BH78"/>
      <c r="BI78"/>
      <c r="BJ78"/>
      <c r="BK78"/>
      <c r="BL78"/>
      <c r="BM78"/>
      <c r="BN78"/>
    </row>
    <row r="79" spans="2:66" s="223" customFormat="1" x14ac:dyDescent="0.25">
      <c r="B79" s="34" t="s">
        <v>439</v>
      </c>
      <c r="C79" s="34"/>
      <c r="D79" s="34"/>
      <c r="E79" s="34"/>
      <c r="F79" s="34"/>
      <c r="G79" s="34"/>
      <c r="H79" s="34"/>
      <c r="I79" s="34"/>
      <c r="J79" s="34"/>
      <c r="K79" s="34"/>
      <c r="L79" s="34"/>
      <c r="M79" s="34"/>
      <c r="N79" s="34"/>
      <c r="O79" s="34"/>
      <c r="P79" s="34"/>
      <c r="Q79" s="34"/>
      <c r="R79" s="34"/>
      <c r="S79" s="34"/>
      <c r="T79" s="351">
        <v>0.30251661581260991</v>
      </c>
      <c r="U79" s="351">
        <v>0.30389517918755887</v>
      </c>
      <c r="V79" s="351">
        <v>0.16590005844236264</v>
      </c>
      <c r="W79" s="351">
        <v>0.16590283437378753</v>
      </c>
      <c r="X79" s="351">
        <v>0.14349085715408855</v>
      </c>
      <c r="Y79" s="351">
        <f t="shared" si="32"/>
        <v>0.13792558040983449</v>
      </c>
      <c r="Z79" s="351"/>
      <c r="AB79" s="522">
        <v>0.13</v>
      </c>
      <c r="AC79" s="351">
        <v>0.1386504602786843</v>
      </c>
      <c r="AD79" s="351">
        <v>0.13790381692957901</v>
      </c>
      <c r="AE79" s="351">
        <v>0.13792558040983449</v>
      </c>
      <c r="AF79" s="351">
        <v>0.13790635204775512</v>
      </c>
      <c r="AG79" s="351"/>
      <c r="AH79" s="351"/>
      <c r="AI79" s="351"/>
      <c r="AK79" s="351"/>
      <c r="AL79" s="395"/>
      <c r="AM79" s="395"/>
      <c r="AN79" s="395"/>
      <c r="AO79" s="395"/>
      <c r="AP79" s="395"/>
      <c r="AQ79" s="395"/>
      <c r="AR79" s="395"/>
      <c r="BF79"/>
      <c r="BG79"/>
      <c r="BH79"/>
      <c r="BI79"/>
      <c r="BJ79"/>
      <c r="BK79"/>
      <c r="BL79"/>
      <c r="BM79"/>
      <c r="BN79"/>
    </row>
    <row r="80" spans="2:66" s="223" customFormat="1" x14ac:dyDescent="0.25">
      <c r="B80" s="34" t="s">
        <v>440</v>
      </c>
      <c r="C80" s="34"/>
      <c r="D80" s="34"/>
      <c r="E80" s="34"/>
      <c r="F80" s="34"/>
      <c r="G80" s="34"/>
      <c r="H80" s="34"/>
      <c r="I80" s="34"/>
      <c r="J80" s="34"/>
      <c r="K80" s="34"/>
      <c r="L80" s="34"/>
      <c r="M80" s="34"/>
      <c r="N80" s="34"/>
      <c r="O80" s="34"/>
      <c r="P80" s="34"/>
      <c r="Q80" s="34"/>
      <c r="R80" s="34"/>
      <c r="S80" s="34"/>
      <c r="T80" s="351">
        <v>0.17980844613429969</v>
      </c>
      <c r="U80" s="351">
        <v>0.18899953751609544</v>
      </c>
      <c r="V80" s="351">
        <v>0.28000000000000003</v>
      </c>
      <c r="W80" s="351">
        <v>0.31</v>
      </c>
      <c r="X80" s="351">
        <v>0.35</v>
      </c>
      <c r="Y80" s="351">
        <f t="shared" si="32"/>
        <v>0.38</v>
      </c>
      <c r="Z80" s="351"/>
      <c r="AB80" s="351">
        <v>0.28999999999999998</v>
      </c>
      <c r="AC80" s="351">
        <v>0.36</v>
      </c>
      <c r="AD80" s="351">
        <v>0.37</v>
      </c>
      <c r="AE80" s="351">
        <v>0.38</v>
      </c>
      <c r="AF80" s="351">
        <v>0.32</v>
      </c>
      <c r="AG80" s="351"/>
      <c r="AH80" s="351"/>
      <c r="AI80" s="351"/>
      <c r="AK80" s="351"/>
      <c r="AL80" s="395"/>
      <c r="AM80" s="395"/>
      <c r="AN80" s="395"/>
      <c r="AO80" s="395"/>
      <c r="AP80" s="395"/>
      <c r="AQ80" s="395"/>
      <c r="AR80" s="395"/>
      <c r="BF80"/>
      <c r="BG80"/>
      <c r="BH80"/>
      <c r="BI80"/>
      <c r="BJ80"/>
      <c r="BK80"/>
      <c r="BL80"/>
      <c r="BM80"/>
      <c r="BN80"/>
    </row>
    <row r="81" spans="2:66" s="223" customFormat="1" x14ac:dyDescent="0.25">
      <c r="B81" s="34"/>
      <c r="C81" s="34"/>
      <c r="D81" s="34"/>
      <c r="E81" s="34"/>
      <c r="F81" s="34"/>
      <c r="G81" s="34"/>
      <c r="H81" s="34"/>
      <c r="I81" s="34"/>
      <c r="J81" s="34"/>
      <c r="K81" s="34"/>
      <c r="L81" s="34"/>
      <c r="M81" s="34"/>
      <c r="N81" s="34"/>
      <c r="O81" s="34"/>
      <c r="P81" s="34"/>
      <c r="Q81" s="34"/>
      <c r="R81" s="34"/>
      <c r="S81" s="34"/>
      <c r="T81" s="396"/>
      <c r="U81" s="396"/>
      <c r="V81" s="396"/>
      <c r="W81" s="396"/>
      <c r="X81" s="396"/>
      <c r="Y81" s="396"/>
      <c r="Z81" s="396"/>
      <c r="AB81" s="396"/>
      <c r="AK81" s="396"/>
      <c r="AL81" s="396"/>
      <c r="AM81" s="396"/>
      <c r="AN81" s="396"/>
      <c r="AO81" s="396"/>
      <c r="AP81" s="396"/>
      <c r="AQ81" s="396"/>
      <c r="AR81" s="396"/>
      <c r="BF81"/>
      <c r="BG81"/>
      <c r="BH81"/>
      <c r="BI81"/>
      <c r="BJ81"/>
      <c r="BK81"/>
      <c r="BL81"/>
      <c r="BM81"/>
      <c r="BN81"/>
    </row>
    <row r="82" spans="2:66" s="223" customFormat="1" x14ac:dyDescent="0.25">
      <c r="B82" s="34" t="s">
        <v>441</v>
      </c>
      <c r="C82" s="34"/>
      <c r="D82" s="34"/>
      <c r="E82" s="34"/>
      <c r="F82" s="34"/>
      <c r="G82" s="34"/>
      <c r="H82" s="34"/>
      <c r="I82" s="34"/>
      <c r="J82" s="34"/>
      <c r="K82" s="34"/>
      <c r="L82" s="34"/>
      <c r="M82" s="34"/>
      <c r="N82" s="34"/>
      <c r="O82" s="34"/>
      <c r="P82" s="34"/>
      <c r="Q82" s="34"/>
      <c r="R82" s="34"/>
      <c r="S82" s="34"/>
      <c r="T82" s="341">
        <v>30668.746832742872</v>
      </c>
      <c r="U82" s="341">
        <v>30357.538911467644</v>
      </c>
      <c r="V82" s="341">
        <v>30297.673239035998</v>
      </c>
      <c r="W82" s="341">
        <v>30895.916452876001</v>
      </c>
      <c r="X82" s="341">
        <v>32885.288629517003</v>
      </c>
      <c r="Y82" s="341">
        <f>AE82</f>
        <v>29596.889475079002</v>
      </c>
      <c r="Z82" s="341"/>
      <c r="AB82" s="517">
        <v>8486</v>
      </c>
      <c r="AC82" s="341">
        <v>15197.734486572002</v>
      </c>
      <c r="AD82" s="341">
        <v>22226.039252591003</v>
      </c>
      <c r="AE82" s="341">
        <v>29596.889475079002</v>
      </c>
      <c r="AF82" s="341">
        <v>7261.4824941040006</v>
      </c>
      <c r="AG82" s="341"/>
      <c r="AH82" s="341"/>
      <c r="AI82" s="341"/>
      <c r="AK82" s="341">
        <f>AB82</f>
        <v>8486</v>
      </c>
      <c r="AL82" s="341">
        <f t="shared" ref="AL82:AN85" si="33">AC82-AB82</f>
        <v>6711.7344865720024</v>
      </c>
      <c r="AM82" s="341">
        <f t="shared" si="33"/>
        <v>7028.3047660190005</v>
      </c>
      <c r="AN82" s="341">
        <f t="shared" si="33"/>
        <v>7370.8502224879994</v>
      </c>
      <c r="AO82" s="341">
        <f>AF82</f>
        <v>7261.4824941040006</v>
      </c>
      <c r="AP82" s="341"/>
      <c r="AQ82" s="341"/>
      <c r="AR82" s="341"/>
      <c r="BF82"/>
      <c r="BG82"/>
      <c r="BH82"/>
      <c r="BI82"/>
      <c r="BJ82"/>
      <c r="BK82"/>
      <c r="BL82"/>
      <c r="BM82"/>
      <c r="BN82"/>
    </row>
    <row r="83" spans="2:66" s="223" customFormat="1" x14ac:dyDescent="0.25">
      <c r="B83" s="41" t="s">
        <v>442</v>
      </c>
      <c r="C83" s="41"/>
      <c r="D83" s="41"/>
      <c r="E83" s="41"/>
      <c r="F83" s="41"/>
      <c r="G83" s="41"/>
      <c r="H83" s="41"/>
      <c r="I83" s="41"/>
      <c r="J83" s="41"/>
      <c r="K83" s="41"/>
      <c r="L83" s="41"/>
      <c r="M83" s="41"/>
      <c r="N83" s="41"/>
      <c r="O83" s="41"/>
      <c r="P83" s="41"/>
      <c r="Q83" s="41"/>
      <c r="R83" s="41"/>
      <c r="S83" s="41"/>
      <c r="T83" s="394">
        <v>13216</v>
      </c>
      <c r="U83" s="394">
        <v>12888.59031648885</v>
      </c>
      <c r="V83" s="308">
        <v>10769.406612021001</v>
      </c>
      <c r="W83" s="308">
        <v>8398.9127824499992</v>
      </c>
      <c r="X83" s="308">
        <v>8243.8702855720003</v>
      </c>
      <c r="Y83" s="394">
        <f>AE83</f>
        <v>7903.9344531489996</v>
      </c>
      <c r="Z83" s="394"/>
      <c r="AB83" s="521">
        <v>2367</v>
      </c>
      <c r="AC83" s="308">
        <v>4074.1074753760004</v>
      </c>
      <c r="AD83" s="308">
        <v>5897.9439886290002</v>
      </c>
      <c r="AE83" s="308">
        <v>7903.9344531489996</v>
      </c>
      <c r="AF83" s="501">
        <v>2182.2792098350005</v>
      </c>
      <c r="AG83" s="308"/>
      <c r="AH83" s="308"/>
      <c r="AI83" s="308"/>
      <c r="AK83" s="308">
        <f>AB83</f>
        <v>2367</v>
      </c>
      <c r="AL83" s="308">
        <f t="shared" si="33"/>
        <v>1707.1074753760004</v>
      </c>
      <c r="AM83" s="308">
        <f t="shared" si="33"/>
        <v>1823.8365132529998</v>
      </c>
      <c r="AN83" s="308">
        <f t="shared" si="33"/>
        <v>2005.9904645199995</v>
      </c>
      <c r="AO83" s="501">
        <f>AF83</f>
        <v>2182.2792098350005</v>
      </c>
      <c r="AP83" s="308"/>
      <c r="AQ83" s="308"/>
      <c r="AR83" s="308"/>
      <c r="BF83"/>
      <c r="BG83"/>
      <c r="BH83"/>
      <c r="BI83"/>
      <c r="BJ83"/>
      <c r="BK83"/>
      <c r="BL83"/>
      <c r="BM83"/>
      <c r="BN83"/>
    </row>
    <row r="84" spans="2:66" s="223" customFormat="1" x14ac:dyDescent="0.25">
      <c r="B84" t="s">
        <v>443</v>
      </c>
      <c r="C84"/>
      <c r="D84"/>
      <c r="E84"/>
      <c r="F84"/>
      <c r="G84"/>
      <c r="H84"/>
      <c r="I84"/>
      <c r="J84"/>
      <c r="K84"/>
      <c r="L84"/>
      <c r="M84"/>
      <c r="N84"/>
      <c r="O84"/>
      <c r="P84"/>
      <c r="Q84"/>
      <c r="R84"/>
      <c r="S84"/>
      <c r="T84" s="394">
        <v>17452</v>
      </c>
      <c r="U84" s="394">
        <v>17468.948594978789</v>
      </c>
      <c r="V84" s="308">
        <v>17115.702871809997</v>
      </c>
      <c r="W84" s="308">
        <v>20216.538727976003</v>
      </c>
      <c r="X84" s="308">
        <v>21824.793509476</v>
      </c>
      <c r="Y84" s="394">
        <f>AE84</f>
        <v>18677.560347320003</v>
      </c>
      <c r="Z84" s="394"/>
      <c r="AB84" s="521">
        <v>5173</v>
      </c>
      <c r="AC84" s="308">
        <v>9552.8902912180019</v>
      </c>
      <c r="AD84" s="308">
        <v>14084.957638800002</v>
      </c>
      <c r="AE84" s="308">
        <v>18677.560347320003</v>
      </c>
      <c r="AF84" s="501">
        <v>4281.3364399530001</v>
      </c>
      <c r="AG84" s="308"/>
      <c r="AH84" s="308"/>
      <c r="AI84" s="308"/>
      <c r="AK84" s="308">
        <f>AB84</f>
        <v>5173</v>
      </c>
      <c r="AL84" s="308">
        <f t="shared" si="33"/>
        <v>4379.8902912180019</v>
      </c>
      <c r="AM84" s="308">
        <f t="shared" si="33"/>
        <v>4532.0673475820004</v>
      </c>
      <c r="AN84" s="308">
        <f t="shared" si="33"/>
        <v>4592.6027085200003</v>
      </c>
      <c r="AO84" s="501">
        <f>AF84</f>
        <v>4281.3364399530001</v>
      </c>
      <c r="AP84" s="308"/>
      <c r="AQ84" s="308"/>
      <c r="AR84" s="308"/>
      <c r="BF84"/>
      <c r="BG84"/>
      <c r="BH84"/>
      <c r="BI84"/>
      <c r="BJ84"/>
      <c r="BK84"/>
      <c r="BL84"/>
      <c r="BM84"/>
      <c r="BN84"/>
    </row>
    <row r="85" spans="2:66" x14ac:dyDescent="0.25">
      <c r="B85" t="s">
        <v>444</v>
      </c>
      <c r="T85" s="394">
        <v>0</v>
      </c>
      <c r="U85" s="394">
        <v>0</v>
      </c>
      <c r="V85" s="308">
        <v>2412.5637552050002</v>
      </c>
      <c r="W85" s="308">
        <v>2280.4649424499999</v>
      </c>
      <c r="X85" s="308">
        <v>2816.6248344689998</v>
      </c>
      <c r="Y85" s="394">
        <f>AE85</f>
        <v>3015.3946746099996</v>
      </c>
      <c r="Z85" s="394"/>
      <c r="AB85" s="518">
        <v>946</v>
      </c>
      <c r="AC85" s="308">
        <v>1570.7367199780001</v>
      </c>
      <c r="AD85" s="308">
        <v>2243.1376251619999</v>
      </c>
      <c r="AE85" s="308">
        <v>3015.3946746099996</v>
      </c>
      <c r="AF85" s="501">
        <v>797.86684431599997</v>
      </c>
      <c r="AG85" s="308"/>
      <c r="AH85" s="308"/>
      <c r="AI85" s="308"/>
      <c r="AK85" s="308">
        <f>AB85</f>
        <v>946</v>
      </c>
      <c r="AL85" s="308">
        <f t="shared" si="33"/>
        <v>624.73671997800011</v>
      </c>
      <c r="AM85" s="308">
        <f t="shared" si="33"/>
        <v>672.40090518399984</v>
      </c>
      <c r="AN85" s="308">
        <f t="shared" si="33"/>
        <v>772.25704944799963</v>
      </c>
      <c r="AO85" s="501">
        <f>AF85</f>
        <v>797.86684431599997</v>
      </c>
      <c r="AP85" s="308"/>
      <c r="AQ85" s="308"/>
      <c r="AR85" s="308"/>
      <c r="BF85"/>
      <c r="BG85"/>
      <c r="BH85"/>
      <c r="BI85"/>
      <c r="BJ85"/>
      <c r="BK85"/>
      <c r="BL85"/>
      <c r="BM85"/>
      <c r="BN85"/>
    </row>
    <row r="86" spans="2:66" x14ac:dyDescent="0.25">
      <c r="T86" s="308"/>
      <c r="U86" s="308"/>
      <c r="V86" s="308"/>
      <c r="W86" s="308"/>
      <c r="X86" s="308"/>
      <c r="Y86" s="308"/>
      <c r="Z86" s="308"/>
      <c r="AB86" s="518"/>
      <c r="AC86" s="308"/>
      <c r="AD86" s="308"/>
      <c r="AE86" s="308"/>
      <c r="AF86" s="501"/>
      <c r="AG86" s="308"/>
      <c r="AH86" s="308"/>
      <c r="AI86" s="308"/>
      <c r="AK86" s="308"/>
      <c r="AL86" s="308"/>
      <c r="AM86" s="308"/>
      <c r="AN86" s="308"/>
      <c r="AO86" s="501"/>
      <c r="AP86" s="308"/>
      <c r="AQ86" s="308"/>
      <c r="AR86" s="308"/>
      <c r="BF86"/>
      <c r="BG86"/>
      <c r="BH86"/>
      <c r="BI86"/>
      <c r="BJ86"/>
      <c r="BK86"/>
      <c r="BL86"/>
      <c r="BM86"/>
      <c r="BN86"/>
    </row>
    <row r="87" spans="2:66" x14ac:dyDescent="0.25">
      <c r="B87" s="34" t="s">
        <v>445</v>
      </c>
      <c r="C87" s="34"/>
      <c r="D87" s="34"/>
      <c r="E87" s="34"/>
      <c r="F87" s="34"/>
      <c r="G87" s="34"/>
      <c r="H87" s="34"/>
      <c r="I87" s="34"/>
      <c r="J87" s="34"/>
      <c r="K87" s="34"/>
      <c r="L87" s="34"/>
      <c r="M87" s="34"/>
      <c r="N87" s="34"/>
      <c r="O87" s="34"/>
      <c r="P87" s="34"/>
      <c r="Q87" s="34"/>
      <c r="R87" s="34"/>
      <c r="S87" s="34"/>
      <c r="T87" s="341">
        <v>11916.52322988362</v>
      </c>
      <c r="U87" s="341">
        <v>12218.362060684722</v>
      </c>
      <c r="V87" s="341">
        <v>11905.208116971</v>
      </c>
      <c r="W87" s="341">
        <v>8218.7849595389998</v>
      </c>
      <c r="X87" s="341">
        <v>6997.3239290600004</v>
      </c>
      <c r="Y87" s="341">
        <f>AE87</f>
        <v>5024.6107738670007</v>
      </c>
      <c r="Z87" s="341"/>
      <c r="AB87" s="517">
        <v>1754</v>
      </c>
      <c r="AC87" s="341">
        <v>2885.5010016699998</v>
      </c>
      <c r="AD87" s="341">
        <v>3828.4524800660001</v>
      </c>
      <c r="AE87" s="341">
        <v>5024.6107738670007</v>
      </c>
      <c r="AF87" s="341">
        <v>1440.5237154360002</v>
      </c>
      <c r="AG87" s="341"/>
      <c r="AH87" s="341"/>
      <c r="AI87" s="341"/>
      <c r="AK87" s="341">
        <f>AB87</f>
        <v>1754</v>
      </c>
      <c r="AL87" s="341">
        <f t="shared" ref="AL87:AN90" si="34">AC87-AB87</f>
        <v>1131.5010016699998</v>
      </c>
      <c r="AM87" s="341">
        <f t="shared" si="34"/>
        <v>942.95147839600031</v>
      </c>
      <c r="AN87" s="341">
        <f t="shared" si="34"/>
        <v>1196.1582938010006</v>
      </c>
      <c r="AO87" s="341">
        <f>AF87</f>
        <v>1440.5237154360002</v>
      </c>
      <c r="AP87" s="341"/>
      <c r="AQ87" s="341"/>
      <c r="AR87" s="341"/>
      <c r="BF87"/>
      <c r="BG87"/>
      <c r="BH87"/>
      <c r="BI87"/>
      <c r="BJ87"/>
      <c r="BK87"/>
      <c r="BL87"/>
      <c r="BM87"/>
      <c r="BN87"/>
    </row>
    <row r="88" spans="2:66" x14ac:dyDescent="0.25">
      <c r="B88" s="41" t="s">
        <v>162</v>
      </c>
      <c r="C88" s="41"/>
      <c r="D88" s="41"/>
      <c r="E88" s="41"/>
      <c r="F88" s="41"/>
      <c r="G88" s="41"/>
      <c r="H88" s="41"/>
      <c r="I88" s="41"/>
      <c r="J88" s="41"/>
      <c r="K88" s="41"/>
      <c r="L88" s="41"/>
      <c r="M88" s="41"/>
      <c r="N88" s="41"/>
      <c r="O88" s="41"/>
      <c r="P88" s="41"/>
      <c r="Q88" s="41"/>
      <c r="R88" s="41"/>
      <c r="S88" s="41"/>
      <c r="T88" s="394">
        <v>6730</v>
      </c>
      <c r="U88" s="394">
        <v>6470</v>
      </c>
      <c r="V88" s="308">
        <v>5010.4464441320006</v>
      </c>
      <c r="W88" s="308">
        <v>1571.5064074959996</v>
      </c>
      <c r="X88" s="308">
        <v>1303.8285227390002</v>
      </c>
      <c r="Y88" s="394">
        <f>AE88</f>
        <v>908.36802180500001</v>
      </c>
      <c r="Z88" s="394"/>
      <c r="AB88" s="518">
        <v>364</v>
      </c>
      <c r="AC88" s="308">
        <v>533.98629818299992</v>
      </c>
      <c r="AD88" s="308">
        <v>684.61782388500012</v>
      </c>
      <c r="AE88" s="308">
        <v>908.36802180500001</v>
      </c>
      <c r="AF88" s="501">
        <v>305.25312622700005</v>
      </c>
      <c r="AG88" s="308"/>
      <c r="AH88" s="308"/>
      <c r="AI88" s="308"/>
      <c r="AK88" s="308">
        <f>AB88</f>
        <v>364</v>
      </c>
      <c r="AL88" s="308">
        <f t="shared" si="34"/>
        <v>169.98629818299992</v>
      </c>
      <c r="AM88" s="308">
        <f t="shared" si="34"/>
        <v>150.6315257020002</v>
      </c>
      <c r="AN88" s="308">
        <f t="shared" si="34"/>
        <v>223.75019791999989</v>
      </c>
      <c r="AO88" s="501">
        <f>AF88</f>
        <v>305.25312622700005</v>
      </c>
      <c r="AP88" s="308"/>
      <c r="AQ88" s="308"/>
      <c r="AR88" s="308"/>
      <c r="BF88"/>
      <c r="BG88"/>
      <c r="BH88"/>
      <c r="BI88"/>
      <c r="BJ88"/>
      <c r="BK88"/>
      <c r="BL88"/>
      <c r="BM88"/>
      <c r="BN88"/>
    </row>
    <row r="89" spans="2:66" x14ac:dyDescent="0.25">
      <c r="B89" t="s">
        <v>443</v>
      </c>
      <c r="T89" s="394">
        <v>5186</v>
      </c>
      <c r="U89" s="394">
        <v>5748</v>
      </c>
      <c r="V89" s="308">
        <v>6532.5453584549996</v>
      </c>
      <c r="W89" s="308">
        <v>6492.7074600429996</v>
      </c>
      <c r="X89" s="308">
        <v>5498.5848163209994</v>
      </c>
      <c r="Y89" s="394">
        <f>AE89</f>
        <v>3723.967696062</v>
      </c>
      <c r="Z89" s="394"/>
      <c r="AB89" s="521">
        <v>1257</v>
      </c>
      <c r="AC89" s="308">
        <v>2093.658006487</v>
      </c>
      <c r="AD89" s="308">
        <v>2823.256667181</v>
      </c>
      <c r="AE89" s="308">
        <v>3723.967696062</v>
      </c>
      <c r="AF89" s="501">
        <v>950.74307320900004</v>
      </c>
      <c r="AG89" s="308"/>
      <c r="AH89" s="308"/>
      <c r="AI89" s="308"/>
      <c r="AK89" s="308">
        <f>AB89</f>
        <v>1257</v>
      </c>
      <c r="AL89" s="308">
        <f t="shared" si="34"/>
        <v>836.65800648699997</v>
      </c>
      <c r="AM89" s="308">
        <f t="shared" si="34"/>
        <v>729.59866069400005</v>
      </c>
      <c r="AN89" s="308">
        <f t="shared" si="34"/>
        <v>900.71102888099995</v>
      </c>
      <c r="AO89" s="501">
        <f>AF89</f>
        <v>950.74307320900004</v>
      </c>
      <c r="AP89" s="308"/>
      <c r="AQ89" s="308"/>
      <c r="AR89" s="308"/>
      <c r="BF89"/>
      <c r="BG89"/>
      <c r="BH89"/>
      <c r="BI89"/>
      <c r="BJ89"/>
      <c r="BK89"/>
      <c r="BL89"/>
      <c r="BM89"/>
      <c r="BN89"/>
    </row>
    <row r="90" spans="2:66" x14ac:dyDescent="0.25">
      <c r="B90" t="s">
        <v>444</v>
      </c>
      <c r="T90" s="394">
        <v>0</v>
      </c>
      <c r="U90" s="394">
        <v>0</v>
      </c>
      <c r="V90" s="308">
        <v>362.21631438400004</v>
      </c>
      <c r="W90" s="308">
        <v>154.57109199999996</v>
      </c>
      <c r="X90" s="308">
        <v>194.91059000000004</v>
      </c>
      <c r="Y90" s="394">
        <f>AE90</f>
        <v>392.27505600000001</v>
      </c>
      <c r="Z90" s="394"/>
      <c r="AB90" s="518">
        <v>133</v>
      </c>
      <c r="AC90" s="308">
        <v>257.856697</v>
      </c>
      <c r="AD90" s="308">
        <v>320.57798899999995</v>
      </c>
      <c r="AE90" s="308">
        <v>392.27505600000001</v>
      </c>
      <c r="AF90" s="501">
        <v>184.52751599999999</v>
      </c>
      <c r="AG90" s="308"/>
      <c r="AH90" s="308"/>
      <c r="AI90" s="308"/>
      <c r="AK90" s="308">
        <f>AB90</f>
        <v>133</v>
      </c>
      <c r="AL90" s="308">
        <f t="shared" si="34"/>
        <v>124.856697</v>
      </c>
      <c r="AM90" s="308">
        <f t="shared" si="34"/>
        <v>62.721291999999949</v>
      </c>
      <c r="AN90" s="308">
        <f t="shared" si="34"/>
        <v>71.697067000000061</v>
      </c>
      <c r="AO90" s="501">
        <f>AF90</f>
        <v>184.52751599999999</v>
      </c>
      <c r="AP90" s="308"/>
      <c r="AQ90" s="308"/>
      <c r="AR90" s="308"/>
      <c r="BF90"/>
      <c r="BG90"/>
      <c r="BH90"/>
      <c r="BI90"/>
      <c r="BJ90"/>
      <c r="BK90"/>
      <c r="BL90"/>
      <c r="BM90"/>
      <c r="BN90"/>
    </row>
    <row r="92" spans="2:66" x14ac:dyDescent="0.25">
      <c r="B92" s="164" t="s">
        <v>302</v>
      </c>
      <c r="C92" s="164"/>
      <c r="D92" s="164"/>
      <c r="E92" s="164"/>
      <c r="F92" s="164"/>
      <c r="G92" s="164"/>
      <c r="H92" s="164"/>
      <c r="I92" s="164"/>
      <c r="J92" s="164"/>
      <c r="K92" s="164"/>
      <c r="L92" s="164"/>
      <c r="M92" s="164"/>
      <c r="N92" s="164"/>
      <c r="O92" s="164"/>
      <c r="P92" s="164"/>
      <c r="Q92" s="164"/>
      <c r="R92" s="164"/>
      <c r="S92" s="164"/>
      <c r="T92" s="228">
        <v>2018</v>
      </c>
      <c r="U92" s="228">
        <v>2019</v>
      </c>
      <c r="V92" s="228">
        <v>2020</v>
      </c>
      <c r="W92" s="228">
        <v>2021</v>
      </c>
      <c r="X92" s="228">
        <v>2022</v>
      </c>
      <c r="Y92" s="229">
        <v>2023</v>
      </c>
      <c r="Z92" s="230">
        <v>2024</v>
      </c>
      <c r="AB92" s="231" t="s">
        <v>291</v>
      </c>
      <c r="AC92" s="231" t="s">
        <v>292</v>
      </c>
      <c r="AD92" s="231" t="s">
        <v>293</v>
      </c>
      <c r="AE92" s="231">
        <v>2023</v>
      </c>
      <c r="AF92" s="232" t="s">
        <v>318</v>
      </c>
      <c r="AG92" s="232" t="s">
        <v>319</v>
      </c>
      <c r="AH92" s="232" t="s">
        <v>320</v>
      </c>
      <c r="AI92" s="232">
        <v>2024</v>
      </c>
      <c r="AK92" s="231" t="s">
        <v>264</v>
      </c>
      <c r="AL92" s="231" t="s">
        <v>265</v>
      </c>
      <c r="AM92" s="231" t="s">
        <v>266</v>
      </c>
      <c r="AN92" s="231" t="s">
        <v>267</v>
      </c>
      <c r="AO92" s="232" t="s">
        <v>318</v>
      </c>
      <c r="AP92" s="232" t="s">
        <v>321</v>
      </c>
      <c r="AQ92" s="232" t="s">
        <v>322</v>
      </c>
      <c r="AR92" s="232" t="s">
        <v>323</v>
      </c>
      <c r="AS92" s="227"/>
      <c r="AT92" s="227"/>
      <c r="AU92" s="227"/>
      <c r="BF92"/>
      <c r="BG92"/>
      <c r="BH92"/>
      <c r="BI92"/>
      <c r="BJ92"/>
      <c r="BK92"/>
      <c r="BL92"/>
      <c r="BM92"/>
      <c r="BN92"/>
    </row>
    <row r="93" spans="2:66" x14ac:dyDescent="0.25">
      <c r="B93" s="34" t="s">
        <v>324</v>
      </c>
      <c r="C93" s="34"/>
      <c r="D93" s="34"/>
      <c r="E93" s="34"/>
      <c r="F93" s="34"/>
      <c r="G93" s="34"/>
      <c r="H93" s="34"/>
      <c r="I93" s="34"/>
      <c r="J93" s="34"/>
      <c r="K93" s="34"/>
      <c r="L93" s="34"/>
      <c r="M93" s="34"/>
      <c r="N93" s="34"/>
      <c r="O93" s="34"/>
      <c r="P93" s="34"/>
      <c r="Q93" s="34"/>
      <c r="R93" s="34"/>
      <c r="S93" s="34"/>
      <c r="T93" s="341">
        <f>SUM(T94:T96)</f>
        <v>6879.1869999999999</v>
      </c>
      <c r="U93" s="341">
        <f>SUM(U94:U96)</f>
        <v>6879.2020000000002</v>
      </c>
      <c r="V93" s="341">
        <f>SUM(V94:V96)</f>
        <v>4855.8310000000001</v>
      </c>
      <c r="W93" s="341">
        <f>SUM(W94:W96)</f>
        <v>4855.8310000000001</v>
      </c>
      <c r="X93" s="341">
        <f t="shared" ref="X93" si="35">SUM(X94:X96)</f>
        <v>4855.8310000000001</v>
      </c>
      <c r="Y93" s="341">
        <f>AE93</f>
        <v>3801.8820000000001</v>
      </c>
      <c r="Z93" s="341"/>
      <c r="AB93" s="341">
        <f t="shared" ref="AB93:AC93" si="36">SUM(AB94:AB96)</f>
        <v>5425.8310000000001</v>
      </c>
      <c r="AC93" s="341">
        <f t="shared" si="36"/>
        <v>5425.8310000000001</v>
      </c>
      <c r="AD93" s="341">
        <f>SUM(AD94:AD96)</f>
        <v>5425.8310000000001</v>
      </c>
      <c r="AE93" s="341">
        <f>SUM(AE94:AE96)</f>
        <v>3801.8820000000001</v>
      </c>
      <c r="AF93" s="341">
        <f>SUM(AF94:AF96)</f>
        <v>3801.8820000000001</v>
      </c>
      <c r="AG93" s="341"/>
      <c r="AH93" s="341"/>
      <c r="AI93" s="341"/>
      <c r="AK93" s="341"/>
      <c r="AL93" s="341"/>
      <c r="AM93" s="341"/>
      <c r="AN93" s="341"/>
      <c r="AO93" s="341"/>
      <c r="AP93" s="341"/>
      <c r="AQ93" s="341"/>
      <c r="AR93" s="341"/>
      <c r="AS93" s="363"/>
      <c r="AT93" s="363"/>
      <c r="AU93" s="363"/>
      <c r="BF93"/>
      <c r="BG93"/>
      <c r="BH93"/>
      <c r="BI93"/>
      <c r="BJ93"/>
      <c r="BK93"/>
      <c r="BL93"/>
      <c r="BM93"/>
      <c r="BN93"/>
    </row>
    <row r="94" spans="2:66" x14ac:dyDescent="0.25">
      <c r="B94" t="s">
        <v>163</v>
      </c>
      <c r="T94" s="308">
        <f>'Operating Data'!T32</f>
        <v>3729.0030000000002</v>
      </c>
      <c r="U94" s="308">
        <f>'Operating Data'!U32</f>
        <v>3729.0030000000002</v>
      </c>
      <c r="V94" s="308">
        <f>'Operating Data'!V32</f>
        <v>2885.6320000000001</v>
      </c>
      <c r="W94" s="308">
        <f>'Operating Data'!W32</f>
        <v>2885.6320000000001</v>
      </c>
      <c r="X94" s="308">
        <v>2885.6320000000001</v>
      </c>
      <c r="Y94" s="308">
        <f>AE94</f>
        <v>2885.6320000000001</v>
      </c>
      <c r="Z94" s="308"/>
      <c r="AB94" s="308">
        <f>'Operating Data'!AB32</f>
        <v>2885.6320000000001</v>
      </c>
      <c r="AC94" s="308">
        <f>'Operating Data'!AC32</f>
        <v>2885.6320000000001</v>
      </c>
      <c r="AD94" s="308">
        <f>'Operating Data'!AD32</f>
        <v>2885.6320000000001</v>
      </c>
      <c r="AE94" s="308">
        <f>'Operating Data'!AE32</f>
        <v>2885.6320000000001</v>
      </c>
      <c r="AF94" s="501">
        <f>'Operating Data'!AF32</f>
        <v>2885.6320000000001</v>
      </c>
      <c r="AG94" s="308"/>
      <c r="AH94" s="308"/>
      <c r="AI94" s="308"/>
      <c r="AK94" s="308"/>
      <c r="AL94" s="308"/>
      <c r="AM94" s="308"/>
      <c r="AN94" s="308"/>
      <c r="AO94" s="308"/>
      <c r="AP94" s="308"/>
      <c r="AQ94" s="308"/>
      <c r="AR94" s="308"/>
      <c r="AS94" s="363"/>
      <c r="AT94" s="363"/>
      <c r="AU94" s="363"/>
      <c r="BF94"/>
      <c r="BG94"/>
      <c r="BH94"/>
      <c r="BI94"/>
      <c r="BJ94"/>
      <c r="BK94"/>
      <c r="BL94"/>
      <c r="BM94"/>
      <c r="BN94"/>
    </row>
    <row r="95" spans="2:66" x14ac:dyDescent="0.25">
      <c r="B95" s="1" t="s">
        <v>164</v>
      </c>
      <c r="C95" s="1"/>
      <c r="D95" s="1"/>
      <c r="E95" s="1"/>
      <c r="F95" s="1"/>
      <c r="G95" s="1"/>
      <c r="H95" s="1"/>
      <c r="I95" s="1"/>
      <c r="J95" s="1"/>
      <c r="K95" s="1"/>
      <c r="L95" s="1"/>
      <c r="M95" s="1"/>
      <c r="N95" s="1"/>
      <c r="O95" s="1"/>
      <c r="P95" s="1"/>
      <c r="Q95" s="1"/>
      <c r="R95" s="1"/>
      <c r="S95" s="1"/>
      <c r="T95" s="308">
        <f>'Operating Data'!T35</f>
        <v>3150.1840000000002</v>
      </c>
      <c r="U95" s="308">
        <f>'Operating Data'!U35</f>
        <v>3150.1990000000001</v>
      </c>
      <c r="V95" s="308">
        <f>'Operating Data'!V35</f>
        <v>1970.1990000000001</v>
      </c>
      <c r="W95" s="308">
        <f>'Operating Data'!W35</f>
        <v>1970.1990000000001</v>
      </c>
      <c r="X95" s="308">
        <f>'Operating Data'!W35</f>
        <v>1970.1990000000001</v>
      </c>
      <c r="Y95" s="308">
        <f>AE95</f>
        <v>916.25</v>
      </c>
      <c r="Z95" s="308"/>
      <c r="AB95" s="308">
        <f>'Operating Data'!AB35</f>
        <v>2540.1990000000001</v>
      </c>
      <c r="AC95" s="308">
        <f>'Operating Data'!AC35</f>
        <v>2540.1990000000001</v>
      </c>
      <c r="AD95" s="308">
        <f>'Operating Data'!AD35</f>
        <v>2540.1990000000001</v>
      </c>
      <c r="AE95" s="308">
        <f>'Operating Data'!AE35</f>
        <v>916.25</v>
      </c>
      <c r="AF95" s="501">
        <f>'Operating Data'!AF35</f>
        <v>916.25</v>
      </c>
      <c r="AG95" s="308"/>
      <c r="AH95" s="308"/>
      <c r="AI95" s="308"/>
      <c r="AK95" s="308"/>
      <c r="AL95" s="308"/>
      <c r="AM95" s="308"/>
      <c r="AN95" s="308"/>
      <c r="AO95" s="308"/>
      <c r="AP95" s="308"/>
      <c r="AQ95" s="308"/>
      <c r="AR95" s="308"/>
      <c r="AS95" s="363"/>
      <c r="AT95" s="363"/>
      <c r="AU95" s="363"/>
      <c r="BF95"/>
      <c r="BG95"/>
      <c r="BH95"/>
      <c r="BI95"/>
      <c r="BJ95"/>
      <c r="BK95"/>
      <c r="BL95"/>
      <c r="BM95"/>
      <c r="BN95"/>
    </row>
    <row r="96" spans="2:66" x14ac:dyDescent="0.25">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row>
    <row r="97" spans="2:66" x14ac:dyDescent="0.25">
      <c r="B97" s="10"/>
      <c r="C97" s="10"/>
      <c r="D97" s="10"/>
      <c r="E97" s="10"/>
      <c r="F97" s="10"/>
      <c r="G97" s="10"/>
      <c r="H97" s="10"/>
      <c r="I97" s="10"/>
      <c r="J97" s="10"/>
      <c r="K97" s="10"/>
      <c r="L97" s="10"/>
      <c r="M97" s="10"/>
      <c r="N97" s="10"/>
      <c r="O97" s="10"/>
      <c r="P97" s="10"/>
      <c r="Q97" s="10"/>
      <c r="R97" s="10"/>
      <c r="S97" s="10"/>
      <c r="T97" s="227"/>
      <c r="U97" s="227"/>
      <c r="V97" s="363"/>
      <c r="W97" s="363"/>
      <c r="X97" s="363"/>
      <c r="Y97" s="363">
        <f>AJ97</f>
        <v>0</v>
      </c>
      <c r="Z97" s="363"/>
      <c r="AB97" s="363"/>
      <c r="AC97" s="363"/>
      <c r="AD97" s="364"/>
      <c r="AE97" s="364"/>
      <c r="AF97" s="364"/>
      <c r="AK97" s="363"/>
      <c r="AL97" s="363"/>
      <c r="AM97" s="363"/>
      <c r="AN97" s="363"/>
      <c r="AO97" s="363"/>
      <c r="AP97" s="363"/>
      <c r="AQ97" s="363"/>
      <c r="AR97" s="363"/>
      <c r="AS97" s="363"/>
      <c r="AT97" s="363"/>
      <c r="AU97" s="363"/>
      <c r="BF97"/>
      <c r="BG97"/>
      <c r="BH97"/>
      <c r="BI97"/>
      <c r="BJ97"/>
      <c r="BK97"/>
      <c r="BL97"/>
      <c r="BM97"/>
      <c r="BN97"/>
    </row>
    <row r="98" spans="2:66" x14ac:dyDescent="0.25">
      <c r="B98" s="34" t="s">
        <v>446</v>
      </c>
      <c r="C98" s="34"/>
      <c r="D98" s="34"/>
      <c r="E98" s="34"/>
      <c r="F98" s="34"/>
      <c r="G98" s="34"/>
      <c r="H98" s="34"/>
      <c r="I98" s="34"/>
      <c r="J98" s="34"/>
      <c r="K98" s="34"/>
      <c r="L98" s="34"/>
      <c r="M98" s="34"/>
      <c r="N98" s="34"/>
      <c r="O98" s="34"/>
      <c r="P98" s="34"/>
      <c r="Q98" s="34"/>
      <c r="R98" s="34"/>
      <c r="S98" s="34"/>
      <c r="T98" s="341"/>
      <c r="U98" s="341"/>
      <c r="V98" s="341"/>
      <c r="W98" s="341"/>
      <c r="X98" s="341"/>
      <c r="Y98" s="341"/>
      <c r="Z98" s="341"/>
      <c r="AB98" s="341"/>
      <c r="AC98" s="341"/>
      <c r="AD98" s="341"/>
      <c r="AE98" s="341"/>
      <c r="AF98" s="341"/>
      <c r="AK98" s="341"/>
      <c r="AL98" s="341"/>
      <c r="AM98" s="341"/>
      <c r="AN98" s="341"/>
      <c r="AO98" s="341"/>
      <c r="AP98" s="341"/>
      <c r="AQ98" s="341"/>
      <c r="AR98" s="341"/>
      <c r="BF98"/>
      <c r="BG98"/>
      <c r="BH98"/>
      <c r="BI98"/>
      <c r="BJ98"/>
      <c r="BK98"/>
      <c r="BL98"/>
      <c r="BM98"/>
      <c r="BN98"/>
    </row>
    <row r="99" spans="2:66" x14ac:dyDescent="0.25">
      <c r="B99" t="s">
        <v>163</v>
      </c>
      <c r="T99" s="292">
        <v>0.1632493197341299</v>
      </c>
      <c r="U99" s="292">
        <v>0.31174266935761574</v>
      </c>
      <c r="V99" s="292">
        <v>0.3044069824926281</v>
      </c>
      <c r="W99" s="292">
        <v>0.2552950390178132</v>
      </c>
      <c r="X99" s="292">
        <v>0.35789663533850269</v>
      </c>
      <c r="Y99" s="292">
        <f>AE99</f>
        <v>0.16110406494975338</v>
      </c>
      <c r="Z99" s="292"/>
      <c r="AB99" s="292">
        <v>0.1986320896020031</v>
      </c>
      <c r="AC99" s="292">
        <v>0.171351155683999</v>
      </c>
      <c r="AD99" s="292">
        <v>0.17856879329773542</v>
      </c>
      <c r="AE99" s="292">
        <v>0.16110406494975338</v>
      </c>
      <c r="AF99" s="292">
        <v>6.3002760253720896E-2</v>
      </c>
      <c r="AG99" s="292"/>
      <c r="AH99" s="292"/>
      <c r="AI99" s="292"/>
      <c r="AK99" s="292"/>
      <c r="AL99" s="291"/>
      <c r="AM99" s="291"/>
      <c r="AN99" s="291"/>
      <c r="AO99" s="291"/>
      <c r="AP99" s="291"/>
      <c r="AQ99" s="291"/>
      <c r="AR99" s="291"/>
      <c r="BF99"/>
      <c r="BG99"/>
      <c r="BH99"/>
      <c r="BI99"/>
      <c r="BJ99"/>
      <c r="BK99"/>
      <c r="BL99"/>
      <c r="BM99"/>
      <c r="BN99"/>
    </row>
    <row r="100" spans="2:66" x14ac:dyDescent="0.25">
      <c r="B100" s="1" t="s">
        <v>165</v>
      </c>
      <c r="C100" s="1"/>
      <c r="D100" s="1"/>
      <c r="E100" s="1"/>
      <c r="F100" s="1"/>
      <c r="G100" s="1"/>
      <c r="H100" s="1"/>
      <c r="I100" s="1"/>
      <c r="J100" s="1"/>
      <c r="K100" s="1"/>
      <c r="L100" s="1"/>
      <c r="M100" s="1"/>
      <c r="N100" s="1"/>
      <c r="O100" s="1"/>
      <c r="P100" s="1"/>
      <c r="Q100" s="1"/>
      <c r="R100" s="1"/>
      <c r="S100" s="1"/>
      <c r="T100" s="292">
        <v>0.65844514941211441</v>
      </c>
      <c r="U100" s="292">
        <v>0.33585193109479722</v>
      </c>
      <c r="V100" s="292">
        <v>0.21889375408216663</v>
      </c>
      <c r="W100" s="292">
        <v>0.37919467410464713</v>
      </c>
      <c r="X100" s="292">
        <v>0.42817831821642266</v>
      </c>
      <c r="Y100" s="292">
        <f>AE100</f>
        <v>0.20879811216720234</v>
      </c>
      <c r="Z100" s="292"/>
      <c r="AB100" s="292">
        <v>0.23093375450555298</v>
      </c>
      <c r="AC100" s="292">
        <v>0.20787811457393907</v>
      </c>
      <c r="AD100" s="292">
        <v>0.20075692930135067</v>
      </c>
      <c r="AE100" s="292">
        <v>0.20879811216720234</v>
      </c>
      <c r="AF100" s="292">
        <v>2.1086847654028552E-2</v>
      </c>
      <c r="AG100" s="292"/>
      <c r="AH100" s="292"/>
      <c r="AI100" s="292"/>
      <c r="AK100" s="292"/>
      <c r="AL100" s="291"/>
      <c r="AM100" s="291"/>
      <c r="AN100" s="291"/>
      <c r="AO100" s="291"/>
      <c r="AP100" s="291"/>
      <c r="AQ100" s="291"/>
      <c r="AR100" s="291"/>
      <c r="BF100"/>
      <c r="BG100"/>
      <c r="BH100"/>
      <c r="BI100"/>
      <c r="BJ100"/>
      <c r="BK100"/>
      <c r="BL100"/>
      <c r="BM100"/>
      <c r="BN100"/>
    </row>
    <row r="101" spans="2:66" x14ac:dyDescent="0.25">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row>
    <row r="102" spans="2:66" x14ac:dyDescent="0.25">
      <c r="T102" s="308"/>
      <c r="U102" s="308"/>
      <c r="V102" s="308"/>
      <c r="W102" s="308"/>
      <c r="X102" s="308"/>
      <c r="Y102" s="308"/>
      <c r="Z102" s="308"/>
      <c r="AB102" s="308"/>
      <c r="AC102" s="308"/>
      <c r="AD102" s="308"/>
      <c r="AE102" s="308"/>
      <c r="AF102" s="501"/>
      <c r="AG102" s="308"/>
      <c r="AH102" s="308"/>
      <c r="AI102" s="308"/>
      <c r="AK102" s="308"/>
      <c r="AL102" s="308"/>
      <c r="AM102" s="308"/>
      <c r="AN102" s="308"/>
      <c r="AO102" s="308"/>
      <c r="AP102" s="308"/>
      <c r="AQ102" s="308"/>
      <c r="AR102" s="308"/>
      <c r="BF102"/>
      <c r="BG102"/>
      <c r="BH102"/>
      <c r="BI102"/>
      <c r="BJ102"/>
      <c r="BK102"/>
      <c r="BL102"/>
      <c r="BM102"/>
      <c r="BN102"/>
    </row>
    <row r="103" spans="2:66" x14ac:dyDescent="0.25">
      <c r="B103" s="34" t="s">
        <v>447</v>
      </c>
      <c r="C103" s="34"/>
      <c r="D103" s="34"/>
      <c r="E103" s="34"/>
      <c r="F103" s="34"/>
      <c r="G103" s="34"/>
      <c r="H103" s="34"/>
      <c r="I103" s="34"/>
      <c r="J103" s="34"/>
      <c r="K103" s="34"/>
      <c r="L103" s="34"/>
      <c r="M103" s="34"/>
      <c r="N103" s="34"/>
      <c r="O103" s="34"/>
      <c r="P103" s="34"/>
      <c r="Q103" s="34"/>
      <c r="R103" s="34"/>
      <c r="S103" s="34"/>
      <c r="T103" s="341">
        <v>20852.629305775001</v>
      </c>
      <c r="U103" s="341">
        <v>18825.754132675</v>
      </c>
      <c r="V103" s="341">
        <v>15402.102134538998</v>
      </c>
      <c r="W103" s="341">
        <v>11904.820571711</v>
      </c>
      <c r="X103" s="341">
        <f t="shared" ref="X103" si="37">SUM(X104:X105)</f>
        <v>10586.806948377</v>
      </c>
      <c r="Y103" s="341">
        <f>AE103</f>
        <v>7235.1693849849989</v>
      </c>
      <c r="Z103" s="341"/>
      <c r="AB103" s="341">
        <f t="shared" ref="AB103:AC103" si="38">SUM(AB104:AB105)</f>
        <v>2139.9614505760001</v>
      </c>
      <c r="AC103" s="341">
        <f t="shared" si="38"/>
        <v>3779.8871835750006</v>
      </c>
      <c r="AD103" s="341">
        <f t="shared" ref="AD103:AE103" si="39">SUM(AD104:AD105)</f>
        <v>5752.7862730030001</v>
      </c>
      <c r="AE103" s="341">
        <f t="shared" si="39"/>
        <v>7235.1693849849989</v>
      </c>
      <c r="AF103" s="341">
        <f t="shared" ref="AF103" si="40">SUM(AF104:AF105)</f>
        <v>430.54915372300002</v>
      </c>
      <c r="AG103" s="341"/>
      <c r="AH103" s="341"/>
      <c r="AI103" s="341"/>
      <c r="AK103" s="341">
        <f>AB103</f>
        <v>2139.9614505760001</v>
      </c>
      <c r="AL103" s="341">
        <f t="shared" ref="AL103:AO105" si="41">AC103</f>
        <v>3779.8871835750006</v>
      </c>
      <c r="AM103" s="341">
        <f t="shared" si="41"/>
        <v>5752.7862730030001</v>
      </c>
      <c r="AN103" s="341">
        <f t="shared" si="41"/>
        <v>7235.1693849849989</v>
      </c>
      <c r="AO103" s="341">
        <f t="shared" si="41"/>
        <v>430.54915372300002</v>
      </c>
      <c r="AP103" s="341"/>
      <c r="AQ103" s="341"/>
      <c r="AR103" s="341"/>
      <c r="BF103"/>
      <c r="BG103"/>
      <c r="BH103"/>
      <c r="BI103"/>
      <c r="BJ103"/>
      <c r="BK103"/>
      <c r="BL103"/>
      <c r="BM103"/>
      <c r="BN103"/>
    </row>
    <row r="104" spans="2:66" x14ac:dyDescent="0.25">
      <c r="B104" t="s">
        <v>163</v>
      </c>
      <c r="T104" s="308">
        <v>5332.7130985999993</v>
      </c>
      <c r="U104" s="308">
        <v>10183.406699540001</v>
      </c>
      <c r="V104" s="308">
        <v>9759.4069472499996</v>
      </c>
      <c r="W104" s="308">
        <v>6434.8743978319999</v>
      </c>
      <c r="X104" s="308">
        <f>'Operating Data'!W85</f>
        <v>6434.8743978319999</v>
      </c>
      <c r="Y104" s="308">
        <f>AE104</f>
        <v>4046.7786151459995</v>
      </c>
      <c r="Z104" s="308"/>
      <c r="AB104" s="308">
        <f>'Operating Data'!AB85</f>
        <v>1232.152086132</v>
      </c>
      <c r="AC104" s="308">
        <f>'Operating Data'!AC85</f>
        <v>2136.4539061940004</v>
      </c>
      <c r="AD104" s="308">
        <f>'Operating Data'!AD85</f>
        <v>3358.9308155340004</v>
      </c>
      <c r="AE104" s="308">
        <f>'Operating Data'!AE85</f>
        <v>4046.7786151459995</v>
      </c>
      <c r="AF104" s="501">
        <f>'Operating Data'!AF85</f>
        <v>388.35247375099999</v>
      </c>
      <c r="AG104" s="308"/>
      <c r="AH104" s="308"/>
      <c r="AI104" s="308"/>
      <c r="AK104" s="308">
        <f>AB104</f>
        <v>1232.152086132</v>
      </c>
      <c r="AL104" s="501">
        <f t="shared" si="41"/>
        <v>2136.4539061940004</v>
      </c>
      <c r="AM104" s="501">
        <f t="shared" si="41"/>
        <v>3358.9308155340004</v>
      </c>
      <c r="AN104" s="501">
        <f t="shared" si="41"/>
        <v>4046.7786151459995</v>
      </c>
      <c r="AO104" s="501">
        <f t="shared" si="41"/>
        <v>388.35247375099999</v>
      </c>
      <c r="AP104" s="308"/>
      <c r="AQ104" s="308"/>
      <c r="AR104" s="308"/>
      <c r="BF104"/>
      <c r="BG104"/>
      <c r="BH104"/>
      <c r="BI104"/>
      <c r="BJ104"/>
      <c r="BK104"/>
      <c r="BL104"/>
      <c r="BM104"/>
      <c r="BN104"/>
    </row>
    <row r="105" spans="2:66" x14ac:dyDescent="0.25">
      <c r="B105" t="s">
        <v>164</v>
      </c>
      <c r="T105" s="308">
        <v>14015.67108835</v>
      </c>
      <c r="U105" s="308">
        <v>7148.9922321100003</v>
      </c>
      <c r="V105" s="308">
        <v>4235.3127476169993</v>
      </c>
      <c r="W105" s="308">
        <v>4151.9325505449997</v>
      </c>
      <c r="X105" s="308">
        <f>'Operating Data'!W89</f>
        <v>4151.9325505449997</v>
      </c>
      <c r="Y105" s="308">
        <f>AB105</f>
        <v>907.80936444399993</v>
      </c>
      <c r="Z105" s="308"/>
      <c r="AB105" s="308">
        <f>'Operating Data'!AB89</f>
        <v>907.80936444399993</v>
      </c>
      <c r="AC105" s="308">
        <f>'Operating Data'!AC89</f>
        <v>1643.4332773810002</v>
      </c>
      <c r="AD105" s="308">
        <f>'Operating Data'!AD89</f>
        <v>2393.8554574689997</v>
      </c>
      <c r="AE105" s="308">
        <f>'Operating Data'!AE89</f>
        <v>3188.3907698389994</v>
      </c>
      <c r="AF105" s="501">
        <f>'Operating Data'!AF89</f>
        <v>42.196679971999998</v>
      </c>
      <c r="AG105" s="308"/>
      <c r="AH105" s="308"/>
      <c r="AI105" s="308"/>
      <c r="AK105" s="308">
        <f>AB105</f>
        <v>907.80936444399993</v>
      </c>
      <c r="AL105" s="501">
        <f t="shared" si="41"/>
        <v>1643.4332773810002</v>
      </c>
      <c r="AM105" s="501">
        <f t="shared" si="41"/>
        <v>2393.8554574689997</v>
      </c>
      <c r="AN105" s="501">
        <f t="shared" si="41"/>
        <v>3188.3907698389994</v>
      </c>
      <c r="AO105" s="501">
        <f t="shared" si="41"/>
        <v>42.196679971999998</v>
      </c>
      <c r="AP105" s="308"/>
      <c r="AQ105" s="308"/>
      <c r="AR105" s="308"/>
      <c r="BF105"/>
      <c r="BG105"/>
      <c r="BH105"/>
      <c r="BI105"/>
      <c r="BJ105"/>
      <c r="BK105"/>
      <c r="BL105"/>
      <c r="BM105"/>
      <c r="BN105"/>
    </row>
    <row r="107" spans="2:66" x14ac:dyDescent="0.25">
      <c r="B107" s="164" t="s">
        <v>303</v>
      </c>
      <c r="C107" s="164"/>
      <c r="D107" s="164"/>
      <c r="E107" s="164"/>
      <c r="F107" s="164"/>
      <c r="G107" s="164"/>
      <c r="H107" s="164"/>
      <c r="I107" s="164"/>
      <c r="J107" s="164"/>
      <c r="K107" s="164"/>
      <c r="L107" s="164"/>
      <c r="M107" s="164"/>
      <c r="N107" s="164"/>
      <c r="O107" s="164"/>
      <c r="P107" s="164"/>
      <c r="Q107" s="164"/>
      <c r="R107" s="164"/>
      <c r="S107" s="164"/>
      <c r="T107" s="228">
        <v>2018</v>
      </c>
      <c r="U107" s="228">
        <v>2019</v>
      </c>
      <c r="V107" s="228">
        <v>2020</v>
      </c>
      <c r="W107" s="228">
        <v>2021</v>
      </c>
      <c r="X107" s="228">
        <v>2022</v>
      </c>
      <c r="Y107" s="229">
        <v>2023</v>
      </c>
      <c r="Z107" s="230">
        <v>2024</v>
      </c>
      <c r="AB107" s="231" t="s">
        <v>291</v>
      </c>
      <c r="AC107" s="231" t="s">
        <v>292</v>
      </c>
      <c r="AD107" s="231" t="s">
        <v>293</v>
      </c>
      <c r="AE107" s="231">
        <v>2023</v>
      </c>
      <c r="AF107" s="232" t="s">
        <v>318</v>
      </c>
      <c r="AG107" s="232" t="s">
        <v>319</v>
      </c>
      <c r="AH107" s="232" t="s">
        <v>320</v>
      </c>
      <c r="AI107" s="232">
        <v>2024</v>
      </c>
      <c r="AK107" s="231" t="s">
        <v>264</v>
      </c>
      <c r="AL107" s="231" t="s">
        <v>265</v>
      </c>
      <c r="AM107" s="231" t="s">
        <v>266</v>
      </c>
      <c r="AN107" s="231" t="s">
        <v>267</v>
      </c>
      <c r="AO107" s="232" t="s">
        <v>318</v>
      </c>
      <c r="AP107" s="232" t="s">
        <v>321</v>
      </c>
      <c r="AQ107" s="232" t="s">
        <v>322</v>
      </c>
      <c r="AR107" s="232" t="s">
        <v>323</v>
      </c>
      <c r="AS107" s="227"/>
      <c r="AT107" s="227"/>
      <c r="AU107" s="227"/>
      <c r="BF107"/>
      <c r="BG107"/>
      <c r="BH107"/>
      <c r="BI107"/>
      <c r="BJ107"/>
      <c r="BK107"/>
      <c r="BL107"/>
      <c r="BM107"/>
      <c r="BN107"/>
    </row>
    <row r="108" spans="2:66" x14ac:dyDescent="0.25">
      <c r="BF108"/>
      <c r="BG108"/>
      <c r="BH108"/>
      <c r="BI108"/>
      <c r="BJ108"/>
      <c r="BK108"/>
      <c r="BL108"/>
      <c r="BM108"/>
      <c r="BN108"/>
    </row>
    <row r="109" spans="2:66" x14ac:dyDescent="0.25">
      <c r="B109" s="20" t="s">
        <v>448</v>
      </c>
      <c r="C109" s="20"/>
      <c r="D109" s="20"/>
      <c r="E109" s="20"/>
      <c r="F109" s="20"/>
      <c r="G109" s="20"/>
      <c r="H109" s="20"/>
      <c r="I109" s="20"/>
      <c r="J109" s="20"/>
      <c r="K109" s="20"/>
      <c r="L109" s="20"/>
      <c r="M109" s="20"/>
      <c r="N109" s="20"/>
      <c r="O109" s="20"/>
      <c r="P109" s="20"/>
      <c r="Q109" s="20"/>
      <c r="R109" s="20"/>
      <c r="S109" s="20"/>
      <c r="T109" s="308">
        <v>3455.3699216070199</v>
      </c>
      <c r="U109" s="308">
        <v>3707.0897421698596</v>
      </c>
      <c r="V109" s="308">
        <v>1585.7940000000001</v>
      </c>
      <c r="W109" s="308">
        <v>3416.6245959410003</v>
      </c>
      <c r="X109" s="308">
        <v>3.787944811</v>
      </c>
      <c r="Y109" s="308">
        <f>AE109</f>
        <v>60.506844178000001</v>
      </c>
      <c r="Z109" s="308"/>
      <c r="AB109" s="308">
        <v>0</v>
      </c>
      <c r="AC109" s="308">
        <v>0</v>
      </c>
      <c r="AD109" s="308">
        <v>0</v>
      </c>
      <c r="AE109" s="308">
        <v>60.506844178000001</v>
      </c>
      <c r="AF109" s="501">
        <v>0</v>
      </c>
      <c r="AG109" s="308"/>
      <c r="AH109" s="308"/>
      <c r="AI109" s="308"/>
      <c r="AK109" s="308">
        <f>AB109</f>
        <v>0</v>
      </c>
      <c r="AL109" s="501">
        <f t="shared" ref="AL109:AO109" si="42">AC109</f>
        <v>0</v>
      </c>
      <c r="AM109" s="501">
        <f t="shared" si="42"/>
        <v>0</v>
      </c>
      <c r="AN109" s="501">
        <f t="shared" si="42"/>
        <v>60.506844178000001</v>
      </c>
      <c r="AO109" s="501">
        <f t="shared" si="42"/>
        <v>0</v>
      </c>
      <c r="AP109" s="308"/>
      <c r="AQ109" s="308"/>
      <c r="AR109" s="308"/>
      <c r="BF109"/>
      <c r="BG109"/>
      <c r="BH109"/>
      <c r="BI109"/>
      <c r="BJ109"/>
      <c r="BK109"/>
      <c r="BL109"/>
      <c r="BM109"/>
      <c r="BN109"/>
    </row>
    <row r="110" spans="2:66" x14ac:dyDescent="0.25">
      <c r="B110" t="s">
        <v>449</v>
      </c>
      <c r="T110" s="292">
        <v>0.79888999999999999</v>
      </c>
      <c r="U110" s="292">
        <v>0.95249165999999996</v>
      </c>
      <c r="V110" s="292">
        <v>0.91947404371584707</v>
      </c>
      <c r="W110" s="292">
        <v>0.93965890410958908</v>
      </c>
      <c r="X110" s="292">
        <v>0.97465753424657542</v>
      </c>
      <c r="Y110" s="292">
        <f>AE110</f>
        <v>0.99288219178082193</v>
      </c>
      <c r="Z110" s="292"/>
      <c r="AB110" s="292">
        <v>0.99517777777777783</v>
      </c>
      <c r="AC110" s="292">
        <v>0.99760220994475135</v>
      </c>
      <c r="AD110" s="292">
        <v>0.99841025641025649</v>
      </c>
      <c r="AE110" s="292">
        <v>0.99288219178082193</v>
      </c>
      <c r="AF110" s="292">
        <v>0</v>
      </c>
      <c r="AG110" s="292"/>
      <c r="AH110" s="292"/>
      <c r="AI110" s="292"/>
      <c r="AK110" s="292"/>
      <c r="AL110" s="291"/>
      <c r="AM110" s="291"/>
      <c r="AN110" s="291"/>
      <c r="AO110" s="291"/>
      <c r="AP110" s="291"/>
      <c r="AQ110" s="291"/>
      <c r="AR110" s="291"/>
      <c r="BF110"/>
      <c r="BG110"/>
      <c r="BH110"/>
      <c r="BI110"/>
      <c r="BJ110"/>
      <c r="BK110"/>
      <c r="BL110"/>
      <c r="BM110"/>
      <c r="BN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tabColor rgb="FF3E8077"/>
  </sheetPr>
  <dimension ref="A1:AR342"/>
  <sheetViews>
    <sheetView showGridLines="0" zoomScale="114" zoomScaleNormal="115" workbookViewId="0">
      <pane xSplit="11" ySplit="3" topLeftCell="L331" activePane="bottomRight" state="frozen"/>
      <selection activeCell="B2" sqref="B2"/>
      <selection pane="topRight" activeCell="B2" sqref="B2"/>
      <selection pane="bottomLeft" activeCell="B2" sqref="B2"/>
      <selection pane="bottomRight" activeCell="B351" sqref="B351"/>
    </sheetView>
  </sheetViews>
  <sheetFormatPr defaultColWidth="8.5703125" defaultRowHeight="15" customHeight="1" outlineLevelRow="1" x14ac:dyDescent="0.25"/>
  <cols>
    <col min="1" max="1" width="5.5703125" customWidth="1"/>
    <col min="2" max="2" width="53.42578125" bestFit="1" customWidth="1"/>
    <col min="3" max="11" width="9.140625" hidden="1" customWidth="1"/>
    <col min="12" max="22" width="9.140625" style="223" customWidth="1"/>
    <col min="23" max="23" width="9.140625" style="333" customWidth="1"/>
    <col min="24" max="26" width="9.140625" style="223" customWidth="1"/>
    <col min="27" max="27" width="9.140625" style="223"/>
    <col min="28" max="35" width="9.140625" style="223" customWidth="1"/>
    <col min="36" max="36" width="9.140625" style="223"/>
    <col min="37" max="45" width="9.140625" style="223" customWidth="1"/>
    <col min="46" max="16384" width="8.5703125" style="223"/>
  </cols>
  <sheetData>
    <row r="1" spans="1:44" ht="5.0999999999999996" customHeight="1" x14ac:dyDescent="0.25"/>
    <row r="2" spans="1:44" ht="30" customHeight="1" x14ac:dyDescent="0.25">
      <c r="B2" s="170" t="s">
        <v>36</v>
      </c>
      <c r="C2" s="170"/>
      <c r="D2" s="170"/>
      <c r="E2" s="170"/>
      <c r="F2" s="170"/>
      <c r="G2" s="170"/>
      <c r="H2" s="170"/>
      <c r="I2" s="170"/>
      <c r="J2" s="170"/>
      <c r="K2" s="170"/>
      <c r="L2" s="224"/>
      <c r="M2" s="224"/>
      <c r="N2" s="224"/>
      <c r="O2" s="224"/>
      <c r="P2" s="224"/>
      <c r="Q2" s="224"/>
      <c r="R2" s="224"/>
      <c r="S2" s="224"/>
      <c r="T2" s="224"/>
      <c r="U2" s="224"/>
      <c r="V2" s="225"/>
      <c r="X2" s="226"/>
      <c r="AB2" s="225"/>
      <c r="AC2" s="225"/>
      <c r="AD2" s="226"/>
      <c r="AE2" s="226"/>
      <c r="AK2" s="225"/>
      <c r="AL2" s="225"/>
      <c r="AM2" s="226"/>
      <c r="AN2" s="226"/>
    </row>
    <row r="3" spans="1:44" ht="15" customHeight="1" x14ac:dyDescent="0.25">
      <c r="B3" s="169" t="s">
        <v>40</v>
      </c>
      <c r="C3" s="169"/>
      <c r="D3" s="169"/>
      <c r="E3" s="169"/>
      <c r="F3" s="169"/>
      <c r="G3" s="169"/>
      <c r="H3" s="169"/>
      <c r="I3" s="169"/>
      <c r="J3" s="169"/>
      <c r="K3" s="169"/>
      <c r="L3" s="228">
        <v>2010</v>
      </c>
      <c r="M3" s="228">
        <v>2011</v>
      </c>
      <c r="N3" s="228">
        <v>2012</v>
      </c>
      <c r="O3" s="228">
        <v>2013</v>
      </c>
      <c r="P3" s="228">
        <v>2014</v>
      </c>
      <c r="Q3" s="228">
        <v>2015</v>
      </c>
      <c r="R3" s="228">
        <v>2016</v>
      </c>
      <c r="S3" s="228">
        <v>2017</v>
      </c>
      <c r="T3" s="228">
        <v>2018</v>
      </c>
      <c r="U3" s="228">
        <v>2019</v>
      </c>
      <c r="V3" s="228">
        <v>2020</v>
      </c>
      <c r="W3" s="228">
        <v>2021</v>
      </c>
      <c r="X3" s="231">
        <v>2022</v>
      </c>
      <c r="Y3" s="229">
        <v>2023</v>
      </c>
      <c r="Z3" s="230">
        <v>2024</v>
      </c>
      <c r="AB3" s="231" t="s">
        <v>291</v>
      </c>
      <c r="AC3" s="231" t="s">
        <v>292</v>
      </c>
      <c r="AD3" s="231" t="s">
        <v>293</v>
      </c>
      <c r="AE3" s="231">
        <v>2023</v>
      </c>
      <c r="AF3" s="232" t="s">
        <v>318</v>
      </c>
      <c r="AG3" s="232" t="s">
        <v>319</v>
      </c>
      <c r="AH3" s="232" t="s">
        <v>320</v>
      </c>
      <c r="AI3" s="232">
        <v>2024</v>
      </c>
      <c r="AK3" s="231" t="s">
        <v>291</v>
      </c>
      <c r="AL3" s="231" t="s">
        <v>296</v>
      </c>
      <c r="AM3" s="231" t="s">
        <v>294</v>
      </c>
      <c r="AN3" s="231" t="s">
        <v>295</v>
      </c>
      <c r="AO3" s="232" t="s">
        <v>318</v>
      </c>
      <c r="AP3" s="232" t="s">
        <v>321</v>
      </c>
      <c r="AQ3" s="232" t="s">
        <v>322</v>
      </c>
      <c r="AR3" s="232" t="s">
        <v>323</v>
      </c>
    </row>
    <row r="4" spans="1:44" ht="15" customHeight="1" x14ac:dyDescent="0.25">
      <c r="B4" s="6" t="s">
        <v>16</v>
      </c>
      <c r="C4" s="6"/>
      <c r="D4" s="6"/>
      <c r="E4" s="6"/>
      <c r="F4" s="6"/>
      <c r="G4" s="6"/>
      <c r="H4" s="6"/>
      <c r="I4" s="6"/>
      <c r="J4" s="6"/>
      <c r="K4" s="6"/>
      <c r="L4" s="301">
        <v>947.65</v>
      </c>
      <c r="M4" s="301">
        <v>1068.83</v>
      </c>
      <c r="N4" s="301">
        <v>1285.1500000000001</v>
      </c>
      <c r="O4" s="301">
        <v>1316.35</v>
      </c>
      <c r="P4" s="301">
        <v>1276.71</v>
      </c>
      <c r="Q4" s="301">
        <v>1547.05</v>
      </c>
      <c r="R4" s="301">
        <v>1650.76</v>
      </c>
      <c r="S4" s="301">
        <v>1827.19</v>
      </c>
      <c r="T4" s="301">
        <v>1696.69</v>
      </c>
      <c r="U4" s="301">
        <v>1823.7</v>
      </c>
      <c r="V4" s="301">
        <v>1730.76</v>
      </c>
      <c r="W4" s="301">
        <v>1757.66</v>
      </c>
      <c r="X4" s="301">
        <v>2371.4899999999998</v>
      </c>
      <c r="Y4" s="301">
        <f t="shared" ref="Y4:Y20" si="0">AE4</f>
        <v>2238.8435296828857</v>
      </c>
      <c r="Z4" s="301"/>
      <c r="AB4" s="301">
        <v>706.24302751920118</v>
      </c>
      <c r="AC4" s="301">
        <v>1225.3446601873025</v>
      </c>
      <c r="AD4" s="301">
        <v>1654.0510265279165</v>
      </c>
      <c r="AE4" s="301">
        <v>2238.8435296828857</v>
      </c>
      <c r="AF4" s="341">
        <v>631.58431932469841</v>
      </c>
      <c r="AG4" s="244"/>
      <c r="AH4" s="244"/>
      <c r="AI4" s="244"/>
      <c r="AK4" s="301">
        <f t="shared" ref="AK4:AK34" si="1">AB4</f>
        <v>706.24302751920118</v>
      </c>
      <c r="AL4" s="301">
        <f t="shared" ref="AL4:AL34" si="2">AC4-AB4</f>
        <v>519.10163266810127</v>
      </c>
      <c r="AM4" s="301">
        <f t="shared" ref="AM4:AM34" si="3">AD4-AC4</f>
        <v>428.70636634061407</v>
      </c>
      <c r="AN4" s="301">
        <f t="shared" ref="AN4:AN34" si="4">AE4-AD4</f>
        <v>584.79250315496915</v>
      </c>
      <c r="AO4" s="301">
        <f t="shared" ref="AO4:AO34" si="5">AF4</f>
        <v>631.58431932469841</v>
      </c>
      <c r="AP4" s="244"/>
      <c r="AQ4" s="244"/>
      <c r="AR4" s="244"/>
    </row>
    <row r="5" spans="1:44" ht="15" customHeight="1" outlineLevel="1" x14ac:dyDescent="0.25">
      <c r="B5" s="148" t="s">
        <v>41</v>
      </c>
      <c r="C5" s="148"/>
      <c r="D5" s="148"/>
      <c r="E5" s="148"/>
      <c r="F5" s="148"/>
      <c r="G5" s="148"/>
      <c r="H5" s="148"/>
      <c r="I5" s="148"/>
      <c r="J5" s="148"/>
      <c r="K5" s="148"/>
      <c r="L5" s="309">
        <f t="shared" ref="L5:U5" si="6">L192</f>
        <v>562.23</v>
      </c>
      <c r="M5" s="309">
        <f t="shared" si="6"/>
        <v>634.86</v>
      </c>
      <c r="N5" s="309">
        <f t="shared" si="6"/>
        <v>777.54</v>
      </c>
      <c r="O5" s="309">
        <f t="shared" si="6"/>
        <v>819.91</v>
      </c>
      <c r="P5" s="309">
        <f t="shared" si="6"/>
        <v>746.93</v>
      </c>
      <c r="Q5" s="309">
        <f t="shared" si="6"/>
        <v>831.59</v>
      </c>
      <c r="R5" s="309">
        <f t="shared" si="6"/>
        <v>913.01</v>
      </c>
      <c r="S5" s="309">
        <f t="shared" si="6"/>
        <v>943.22</v>
      </c>
      <c r="T5" s="309">
        <f t="shared" si="6"/>
        <v>890.82</v>
      </c>
      <c r="U5" s="309">
        <f t="shared" si="6"/>
        <v>924.83</v>
      </c>
      <c r="V5" s="309">
        <f>V192</f>
        <v>824.24</v>
      </c>
      <c r="W5" s="309">
        <f>W192</f>
        <v>926.24</v>
      </c>
      <c r="X5" s="309">
        <f t="shared" ref="X5" si="7">X192</f>
        <v>1279.29</v>
      </c>
      <c r="Y5" s="309">
        <f t="shared" si="0"/>
        <v>1069.3743226840911</v>
      </c>
      <c r="Z5" s="309"/>
      <c r="AB5" s="309">
        <f t="shared" ref="AB5" si="8">AB192</f>
        <v>370.60351558580209</v>
      </c>
      <c r="AC5" s="309">
        <f>AC192</f>
        <v>581.39722611210095</v>
      </c>
      <c r="AD5" s="309">
        <f>AD192</f>
        <v>796.27748820160889</v>
      </c>
      <c r="AE5" s="309">
        <f>AE192</f>
        <v>1069.3743226840911</v>
      </c>
      <c r="AF5" s="465">
        <f>AF192</f>
        <v>319.92777722619991</v>
      </c>
      <c r="AG5" s="465"/>
      <c r="AH5" s="465"/>
      <c r="AI5" s="465"/>
      <c r="AJ5" s="309"/>
      <c r="AK5" s="309">
        <f t="shared" si="1"/>
        <v>370.60351558580209</v>
      </c>
      <c r="AL5" s="309">
        <f t="shared" si="2"/>
        <v>210.79371052629887</v>
      </c>
      <c r="AM5" s="309">
        <f t="shared" si="3"/>
        <v>214.88026208950794</v>
      </c>
      <c r="AN5" s="309">
        <f t="shared" si="4"/>
        <v>273.09683448248222</v>
      </c>
      <c r="AO5" s="309">
        <f t="shared" si="5"/>
        <v>319.92777722619991</v>
      </c>
      <c r="AP5" s="309"/>
      <c r="AQ5" s="309"/>
      <c r="AR5" s="309"/>
    </row>
    <row r="6" spans="1:44" ht="15" customHeight="1" outlineLevel="1" x14ac:dyDescent="0.25">
      <c r="B6" s="148" t="s">
        <v>3</v>
      </c>
      <c r="C6" s="148"/>
      <c r="D6" s="148"/>
      <c r="E6" s="148"/>
      <c r="F6" s="148"/>
      <c r="G6" s="148"/>
      <c r="H6" s="148"/>
      <c r="I6" s="148"/>
      <c r="J6" s="148"/>
      <c r="K6" s="148"/>
      <c r="L6" s="309">
        <f t="shared" ref="L6:U6" si="9">L145</f>
        <v>381.97</v>
      </c>
      <c r="M6" s="309">
        <f t="shared" si="9"/>
        <v>414.5</v>
      </c>
      <c r="N6" s="309">
        <f t="shared" si="9"/>
        <v>482.85</v>
      </c>
      <c r="O6" s="309">
        <f t="shared" si="9"/>
        <v>472.89</v>
      </c>
      <c r="P6" s="309">
        <f t="shared" si="9"/>
        <v>505.61</v>
      </c>
      <c r="Q6" s="309">
        <f t="shared" si="9"/>
        <v>695.66</v>
      </c>
      <c r="R6" s="309">
        <f t="shared" si="9"/>
        <v>705.18</v>
      </c>
      <c r="S6" s="309">
        <f t="shared" si="9"/>
        <v>823.79</v>
      </c>
      <c r="T6" s="309">
        <f t="shared" si="9"/>
        <v>763.01</v>
      </c>
      <c r="U6" s="309">
        <f t="shared" si="9"/>
        <v>832.4</v>
      </c>
      <c r="V6" s="309">
        <f>V145</f>
        <v>871.17</v>
      </c>
      <c r="W6" s="309">
        <f>W145</f>
        <v>761.62</v>
      </c>
      <c r="X6" s="309">
        <f t="shared" ref="X6" si="10">X145</f>
        <v>951.8</v>
      </c>
      <c r="Y6" s="309">
        <f t="shared" si="0"/>
        <v>960.42489755410156</v>
      </c>
      <c r="Z6" s="309"/>
      <c r="AB6" s="309">
        <f t="shared" ref="AB6:AC6" si="11">AB145</f>
        <v>286.59207770180041</v>
      </c>
      <c r="AC6" s="309">
        <f t="shared" si="11"/>
        <v>516.88493356560002</v>
      </c>
      <c r="AD6" s="309">
        <f t="shared" ref="AD6:AE6" si="12">AD145</f>
        <v>713.40001431979977</v>
      </c>
      <c r="AE6" s="309">
        <f t="shared" si="12"/>
        <v>960.42489755410156</v>
      </c>
      <c r="AF6" s="465">
        <f>AF145</f>
        <v>274.350581385</v>
      </c>
      <c r="AG6" s="465"/>
      <c r="AH6" s="465"/>
      <c r="AI6" s="465"/>
      <c r="AK6" s="309">
        <f t="shared" si="1"/>
        <v>286.59207770180041</v>
      </c>
      <c r="AL6" s="309">
        <f t="shared" si="2"/>
        <v>230.29285586379962</v>
      </c>
      <c r="AM6" s="309">
        <f t="shared" si="3"/>
        <v>196.51508075419974</v>
      </c>
      <c r="AN6" s="309">
        <f t="shared" si="4"/>
        <v>247.0248832343018</v>
      </c>
      <c r="AO6" s="309">
        <f t="shared" si="5"/>
        <v>274.350581385</v>
      </c>
      <c r="AP6" s="309"/>
      <c r="AQ6" s="309"/>
      <c r="AR6" s="309"/>
    </row>
    <row r="7" spans="1:44" ht="15" customHeight="1" outlineLevel="1" x14ac:dyDescent="0.25">
      <c r="B7" s="148" t="s">
        <v>270</v>
      </c>
      <c r="C7" s="148"/>
      <c r="D7" s="148"/>
      <c r="E7" s="148"/>
      <c r="F7" s="148"/>
      <c r="G7" s="148"/>
      <c r="H7" s="148"/>
      <c r="I7" s="148"/>
      <c r="J7" s="148"/>
      <c r="K7" s="148"/>
      <c r="L7" s="309">
        <f t="shared" ref="L7:U7" si="13">L291</f>
        <v>3.23</v>
      </c>
      <c r="M7" s="309">
        <f t="shared" si="13"/>
        <v>19.46</v>
      </c>
      <c r="N7" s="309">
        <f t="shared" si="13"/>
        <v>24.75</v>
      </c>
      <c r="O7" s="309">
        <f t="shared" si="13"/>
        <v>24.29</v>
      </c>
      <c r="P7" s="309">
        <f t="shared" si="13"/>
        <v>25.14</v>
      </c>
      <c r="Q7" s="309">
        <f t="shared" si="13"/>
        <v>21.38</v>
      </c>
      <c r="R7" s="309">
        <f t="shared" si="13"/>
        <v>34.380000000000003</v>
      </c>
      <c r="S7" s="309">
        <f t="shared" si="13"/>
        <v>62.81</v>
      </c>
      <c r="T7" s="309">
        <f t="shared" si="13"/>
        <v>49.97</v>
      </c>
      <c r="U7" s="309">
        <f t="shared" si="13"/>
        <v>74.180000000000007</v>
      </c>
      <c r="V7" s="309">
        <f>V291</f>
        <v>36.5</v>
      </c>
      <c r="W7" s="309">
        <f>W291</f>
        <v>67.58</v>
      </c>
      <c r="X7" s="309">
        <f t="shared" ref="X7" si="14">X291</f>
        <v>88.81</v>
      </c>
      <c r="Y7" s="309">
        <f t="shared" si="0"/>
        <v>128.15648587670003</v>
      </c>
      <c r="Z7" s="309"/>
      <c r="AB7" s="309">
        <f t="shared" ref="AB7:AC7" si="15">AB291</f>
        <v>28.283875846799976</v>
      </c>
      <c r="AC7" s="309">
        <f t="shared" si="15"/>
        <v>52.734401800200018</v>
      </c>
      <c r="AD7" s="309">
        <f t="shared" ref="AD7:AE7" si="16">AD291</f>
        <v>91.703243585600021</v>
      </c>
      <c r="AE7" s="309">
        <f t="shared" si="16"/>
        <v>128.15648587670003</v>
      </c>
      <c r="AF7" s="465">
        <f>AF291</f>
        <v>17.585338797600006</v>
      </c>
      <c r="AG7" s="465"/>
      <c r="AH7" s="465"/>
      <c r="AI7" s="465"/>
      <c r="AK7" s="309">
        <f t="shared" si="1"/>
        <v>28.283875846799976</v>
      </c>
      <c r="AL7" s="309">
        <f t="shared" si="2"/>
        <v>24.450525953400042</v>
      </c>
      <c r="AM7" s="309">
        <f t="shared" si="3"/>
        <v>38.968841785400002</v>
      </c>
      <c r="AN7" s="309">
        <f t="shared" si="4"/>
        <v>36.453242291100011</v>
      </c>
      <c r="AO7" s="309">
        <f t="shared" si="5"/>
        <v>17.585338797600006</v>
      </c>
      <c r="AP7" s="309"/>
      <c r="AQ7" s="309"/>
      <c r="AR7" s="309"/>
    </row>
    <row r="8" spans="1:44" ht="15" customHeight="1" outlineLevel="1" x14ac:dyDescent="0.25">
      <c r="B8" s="148" t="s">
        <v>42</v>
      </c>
      <c r="C8" s="148"/>
      <c r="D8" s="148"/>
      <c r="E8" s="148"/>
      <c r="F8" s="148"/>
      <c r="G8" s="148"/>
      <c r="H8" s="148"/>
      <c r="I8" s="148"/>
      <c r="J8" s="148"/>
      <c r="K8" s="148"/>
      <c r="L8" s="309">
        <f>L4-SUM(L5:L7)</f>
        <v>0.2199999999999136</v>
      </c>
      <c r="M8" s="309">
        <f t="shared" ref="M8:U8" si="17">M4-SUM(M5:M7)</f>
        <v>9.9999999997635314E-3</v>
      </c>
      <c r="N8" s="309">
        <f t="shared" si="17"/>
        <v>1.0000000000218279E-2</v>
      </c>
      <c r="O8" s="309">
        <f t="shared" si="17"/>
        <v>-0.74000000000000909</v>
      </c>
      <c r="P8" s="309">
        <f t="shared" si="17"/>
        <v>-0.97000000000002728</v>
      </c>
      <c r="Q8" s="309">
        <f t="shared" si="17"/>
        <v>-1.5800000000001546</v>
      </c>
      <c r="R8" s="309">
        <f t="shared" si="17"/>
        <v>-1.8100000000001728</v>
      </c>
      <c r="S8" s="309">
        <f t="shared" si="17"/>
        <v>-2.6299999999998818</v>
      </c>
      <c r="T8" s="309">
        <f t="shared" si="17"/>
        <v>-7.1099999999999</v>
      </c>
      <c r="U8" s="309">
        <f t="shared" si="17"/>
        <v>-7.7100000000000364</v>
      </c>
      <c r="V8" s="309">
        <f>V4-SUM(V5:V7)</f>
        <v>-1.1499999999998636</v>
      </c>
      <c r="W8" s="309">
        <f>W4-SUM(W5:W7)</f>
        <v>2.2200000000000273</v>
      </c>
      <c r="X8" s="309">
        <f t="shared" ref="X8" si="18">X4-SUM(X5:X7)</f>
        <v>51.589999999999691</v>
      </c>
      <c r="Y8" s="309">
        <f t="shared" si="0"/>
        <v>80.887823567993109</v>
      </c>
      <c r="Z8" s="309"/>
      <c r="AB8" s="309">
        <f t="shared" ref="AB8:AC8" si="19">AB4-SUM(AB5:AB7)</f>
        <v>20.763558384798671</v>
      </c>
      <c r="AC8" s="309">
        <f t="shared" si="19"/>
        <v>74.328098709401502</v>
      </c>
      <c r="AD8" s="309">
        <f t="shared" ref="AD8:AE8" si="20">AD4-SUM(AD5:AD7)</f>
        <v>52.670280420907829</v>
      </c>
      <c r="AE8" s="309">
        <f t="shared" si="20"/>
        <v>80.887823567993109</v>
      </c>
      <c r="AF8" s="465">
        <f>AF4-SUM(AF5:AF7)</f>
        <v>19.720621915898505</v>
      </c>
      <c r="AG8" s="465"/>
      <c r="AH8" s="465"/>
      <c r="AI8" s="465"/>
      <c r="AK8" s="309">
        <f t="shared" si="1"/>
        <v>20.763558384798671</v>
      </c>
      <c r="AL8" s="309">
        <f t="shared" si="2"/>
        <v>53.564540324602831</v>
      </c>
      <c r="AM8" s="309">
        <f t="shared" si="3"/>
        <v>-21.657818288493672</v>
      </c>
      <c r="AN8" s="309">
        <f t="shared" si="4"/>
        <v>28.21754314708528</v>
      </c>
      <c r="AO8" s="309">
        <f t="shared" si="5"/>
        <v>19.720621915898505</v>
      </c>
      <c r="AP8" s="309"/>
      <c r="AQ8" s="309"/>
      <c r="AR8" s="309"/>
    </row>
    <row r="9" spans="1:44" ht="15" customHeight="1" x14ac:dyDescent="0.25">
      <c r="B9" t="s">
        <v>66</v>
      </c>
      <c r="L9" s="310">
        <v>73.02</v>
      </c>
      <c r="M9" s="310">
        <v>84.54</v>
      </c>
      <c r="N9" s="310">
        <v>63.12</v>
      </c>
      <c r="O9" s="310">
        <v>41.36</v>
      </c>
      <c r="P9" s="310">
        <v>45.67</v>
      </c>
      <c r="Q9" s="310">
        <v>161.56</v>
      </c>
      <c r="R9" s="310">
        <v>53.75</v>
      </c>
      <c r="S9" s="310">
        <v>94.94</v>
      </c>
      <c r="T9" s="310">
        <v>191.95</v>
      </c>
      <c r="U9" s="310">
        <v>399.68</v>
      </c>
      <c r="V9" s="310">
        <v>498.41</v>
      </c>
      <c r="W9" s="310">
        <v>635.73</v>
      </c>
      <c r="X9" s="310">
        <v>526.03</v>
      </c>
      <c r="Y9" s="310">
        <f t="shared" si="0"/>
        <v>583.20338532309916</v>
      </c>
      <c r="Z9" s="310"/>
      <c r="AB9" s="310">
        <v>20.517551075699991</v>
      </c>
      <c r="AC9" s="310">
        <v>43.466961051399807</v>
      </c>
      <c r="AD9" s="310">
        <v>502.25942229979961</v>
      </c>
      <c r="AE9" s="310">
        <v>583.20338532309916</v>
      </c>
      <c r="AF9" s="501">
        <v>83.684051357399966</v>
      </c>
      <c r="AG9" s="308"/>
      <c r="AH9" s="308"/>
      <c r="AI9" s="308"/>
      <c r="AK9" s="310">
        <f t="shared" si="1"/>
        <v>20.517551075699991</v>
      </c>
      <c r="AL9" s="310">
        <f t="shared" si="2"/>
        <v>22.949409975699815</v>
      </c>
      <c r="AM9" s="310">
        <f t="shared" si="3"/>
        <v>458.79246124839983</v>
      </c>
      <c r="AN9" s="310">
        <f t="shared" si="4"/>
        <v>80.943963023299546</v>
      </c>
      <c r="AO9" s="310">
        <f t="shared" si="5"/>
        <v>83.684051357399966</v>
      </c>
      <c r="AP9" s="310"/>
      <c r="AQ9" s="310"/>
      <c r="AR9" s="310"/>
    </row>
    <row r="10" spans="1:44" ht="15" customHeight="1" x14ac:dyDescent="0.25">
      <c r="B10" s="6" t="s">
        <v>67</v>
      </c>
      <c r="C10" s="6"/>
      <c r="D10" s="6"/>
      <c r="E10" s="6"/>
      <c r="F10" s="6"/>
      <c r="G10" s="6"/>
      <c r="H10" s="6"/>
      <c r="I10" s="6"/>
      <c r="J10" s="6"/>
      <c r="K10" s="6"/>
      <c r="L10" s="301">
        <v>307.92</v>
      </c>
      <c r="M10" s="301">
        <v>352.63</v>
      </c>
      <c r="N10" s="301">
        <v>410.68</v>
      </c>
      <c r="O10" s="301">
        <v>437.2</v>
      </c>
      <c r="P10" s="301">
        <v>419.18</v>
      </c>
      <c r="Q10" s="301">
        <v>566.30999999999995</v>
      </c>
      <c r="R10" s="301">
        <v>533.55999999999995</v>
      </c>
      <c r="S10" s="301">
        <v>555.80999999999995</v>
      </c>
      <c r="T10" s="301">
        <v>588.73</v>
      </c>
      <c r="U10" s="301">
        <v>575.35</v>
      </c>
      <c r="V10" s="301">
        <v>568.29</v>
      </c>
      <c r="W10" s="301">
        <v>674.54</v>
      </c>
      <c r="X10" s="301">
        <v>919.57</v>
      </c>
      <c r="Y10" s="301">
        <f t="shared" si="0"/>
        <v>1001.1165807521845</v>
      </c>
      <c r="Z10" s="301"/>
      <c r="AB10" s="301">
        <v>286.74338554070221</v>
      </c>
      <c r="AC10" s="301">
        <v>511.23915384179395</v>
      </c>
      <c r="AD10" s="301">
        <v>726.82446761386802</v>
      </c>
      <c r="AE10" s="301">
        <v>1001.1165807521845</v>
      </c>
      <c r="AF10" s="341">
        <v>272.84170713689991</v>
      </c>
      <c r="AG10" s="341"/>
      <c r="AH10" s="341"/>
      <c r="AI10" s="341"/>
      <c r="AK10" s="301">
        <f t="shared" si="1"/>
        <v>286.74338554070221</v>
      </c>
      <c r="AL10" s="301">
        <f t="shared" si="2"/>
        <v>224.49576830109174</v>
      </c>
      <c r="AM10" s="301">
        <f t="shared" si="3"/>
        <v>215.58531377207407</v>
      </c>
      <c r="AN10" s="301">
        <f t="shared" si="4"/>
        <v>274.29211313831649</v>
      </c>
      <c r="AO10" s="301">
        <f t="shared" si="5"/>
        <v>272.84170713689991</v>
      </c>
      <c r="AP10" s="301"/>
      <c r="AQ10" s="301"/>
      <c r="AR10" s="301"/>
    </row>
    <row r="11" spans="1:44" ht="15" customHeight="1" x14ac:dyDescent="0.25">
      <c r="B11" s="42" t="s">
        <v>68</v>
      </c>
      <c r="C11" s="42"/>
      <c r="D11" s="42"/>
      <c r="E11" s="42"/>
      <c r="F11" s="42"/>
      <c r="G11" s="42"/>
      <c r="H11" s="42"/>
      <c r="I11" s="42"/>
      <c r="J11" s="42"/>
      <c r="K11" s="42"/>
      <c r="L11" s="310">
        <v>196.21</v>
      </c>
      <c r="M11" s="310">
        <v>225.07</v>
      </c>
      <c r="N11" s="310">
        <v>261.81</v>
      </c>
      <c r="O11" s="310">
        <v>255.17</v>
      </c>
      <c r="P11" s="310">
        <v>256.64</v>
      </c>
      <c r="Q11" s="310">
        <v>292.73</v>
      </c>
      <c r="R11" s="310">
        <v>304.74</v>
      </c>
      <c r="S11" s="310">
        <v>326.89</v>
      </c>
      <c r="T11" s="310">
        <v>345.32</v>
      </c>
      <c r="U11" s="310">
        <v>309.02999999999997</v>
      </c>
      <c r="V11" s="310">
        <v>304.44</v>
      </c>
      <c r="W11" s="310">
        <v>335.67</v>
      </c>
      <c r="X11" s="310">
        <v>438.97</v>
      </c>
      <c r="Y11" s="310">
        <f t="shared" si="0"/>
        <v>474.52793994149744</v>
      </c>
      <c r="Z11" s="310"/>
      <c r="AB11" s="310">
        <v>115.07560566230116</v>
      </c>
      <c r="AC11" s="310">
        <v>226.48567598730068</v>
      </c>
      <c r="AD11" s="310">
        <v>345.93006456509954</v>
      </c>
      <c r="AE11" s="310">
        <v>474.52793994149744</v>
      </c>
      <c r="AF11" s="501">
        <v>115.47522345149997</v>
      </c>
      <c r="AG11" s="308"/>
      <c r="AH11" s="308"/>
      <c r="AI11" s="308"/>
      <c r="AK11" s="310">
        <f t="shared" si="1"/>
        <v>115.07560566230116</v>
      </c>
      <c r="AL11" s="310">
        <f t="shared" si="2"/>
        <v>111.41007032499952</v>
      </c>
      <c r="AM11" s="310">
        <f t="shared" si="3"/>
        <v>119.44438857779886</v>
      </c>
      <c r="AN11" s="310">
        <f t="shared" si="4"/>
        <v>128.59787537639789</v>
      </c>
      <c r="AO11" s="310">
        <f t="shared" si="5"/>
        <v>115.47522345149997</v>
      </c>
      <c r="AP11" s="310"/>
      <c r="AQ11" s="310"/>
      <c r="AR11" s="310"/>
    </row>
    <row r="12" spans="1:44" ht="15" customHeight="1" x14ac:dyDescent="0.25">
      <c r="B12" s="127" t="s">
        <v>69</v>
      </c>
      <c r="C12" s="127"/>
      <c r="D12" s="127"/>
      <c r="E12" s="127"/>
      <c r="F12" s="127"/>
      <c r="G12" s="127"/>
      <c r="H12" s="127"/>
      <c r="I12" s="127"/>
      <c r="J12" s="127"/>
      <c r="K12" s="127"/>
      <c r="L12" s="310">
        <v>54.85</v>
      </c>
      <c r="M12" s="310">
        <v>60.83</v>
      </c>
      <c r="N12" s="310">
        <v>62.66</v>
      </c>
      <c r="O12" s="310">
        <v>66.47</v>
      </c>
      <c r="P12" s="310">
        <v>66.09</v>
      </c>
      <c r="Q12" s="310">
        <v>84.27</v>
      </c>
      <c r="R12" s="310">
        <v>93.89</v>
      </c>
      <c r="S12" s="310">
        <v>100.76</v>
      </c>
      <c r="T12" s="310">
        <v>114.99</v>
      </c>
      <c r="U12" s="310">
        <v>130.69</v>
      </c>
      <c r="V12" s="310">
        <v>141.16</v>
      </c>
      <c r="W12" s="310">
        <v>174.26</v>
      </c>
      <c r="X12" s="310">
        <v>240.61</v>
      </c>
      <c r="Y12" s="310">
        <f t="shared" si="0"/>
        <v>244.06603517530053</v>
      </c>
      <c r="Z12" s="310"/>
      <c r="AA12" s="385"/>
      <c r="AB12" s="310">
        <v>64.817711169899596</v>
      </c>
      <c r="AC12" s="310">
        <v>131.06628179569969</v>
      </c>
      <c r="AD12" s="310">
        <v>195.3970507905002</v>
      </c>
      <c r="AE12" s="310">
        <v>244.06603517530053</v>
      </c>
      <c r="AF12" s="501">
        <v>66.967957457199986</v>
      </c>
      <c r="AG12" s="308"/>
      <c r="AH12" s="308"/>
      <c r="AI12" s="308"/>
      <c r="AJ12" s="385"/>
      <c r="AK12" s="310">
        <f t="shared" si="1"/>
        <v>64.817711169899596</v>
      </c>
      <c r="AL12" s="310">
        <f t="shared" si="2"/>
        <v>66.248570625800099</v>
      </c>
      <c r="AM12" s="310">
        <f t="shared" si="3"/>
        <v>64.330768994800508</v>
      </c>
      <c r="AN12" s="301">
        <f t="shared" si="4"/>
        <v>48.668984384800325</v>
      </c>
      <c r="AO12" s="310">
        <f t="shared" si="5"/>
        <v>66.967957457199986</v>
      </c>
      <c r="AP12" s="301"/>
      <c r="AQ12" s="301"/>
      <c r="AR12" s="301"/>
    </row>
    <row r="13" spans="1:44" ht="15" customHeight="1" x14ac:dyDescent="0.25">
      <c r="B13" s="42" t="s">
        <v>70</v>
      </c>
      <c r="C13" s="42"/>
      <c r="D13" s="42"/>
      <c r="E13" s="42"/>
      <c r="F13" s="42"/>
      <c r="G13" s="42"/>
      <c r="H13" s="42"/>
      <c r="I13" s="42"/>
      <c r="J13" s="42"/>
      <c r="K13" s="42"/>
      <c r="L13" s="310">
        <v>56.87</v>
      </c>
      <c r="M13" s="310">
        <v>66.73</v>
      </c>
      <c r="N13" s="310">
        <v>86.21</v>
      </c>
      <c r="O13" s="310">
        <v>115.56</v>
      </c>
      <c r="P13" s="310">
        <v>96.44</v>
      </c>
      <c r="Q13" s="310">
        <v>189.32</v>
      </c>
      <c r="R13" s="310">
        <v>134.91999999999999</v>
      </c>
      <c r="S13" s="310">
        <v>128.16</v>
      </c>
      <c r="T13" s="310">
        <v>128.43</v>
      </c>
      <c r="U13" s="310">
        <v>135.62</v>
      </c>
      <c r="V13" s="310">
        <v>122.7</v>
      </c>
      <c r="W13" s="310">
        <v>164.6</v>
      </c>
      <c r="X13" s="310">
        <v>239.99</v>
      </c>
      <c r="Y13" s="310">
        <f t="shared" si="0"/>
        <v>282.52260563538658</v>
      </c>
      <c r="Z13" s="310"/>
      <c r="AB13" s="310">
        <v>106.85006870850148</v>
      </c>
      <c r="AC13" s="310">
        <v>153.6871960587936</v>
      </c>
      <c r="AD13" s="310">
        <v>185.49735225826825</v>
      </c>
      <c r="AE13" s="310">
        <v>282.52260563538658</v>
      </c>
      <c r="AF13" s="501">
        <v>90.398526228199984</v>
      </c>
      <c r="AG13" s="308"/>
      <c r="AH13" s="308"/>
      <c r="AI13" s="308"/>
      <c r="AK13" s="310">
        <f t="shared" si="1"/>
        <v>106.85006870850148</v>
      </c>
      <c r="AL13" s="310">
        <f t="shared" si="2"/>
        <v>46.837127350292121</v>
      </c>
      <c r="AM13" s="310">
        <f t="shared" si="3"/>
        <v>31.810156199474648</v>
      </c>
      <c r="AN13" s="310">
        <f t="shared" si="4"/>
        <v>97.025253377118332</v>
      </c>
      <c r="AO13" s="310">
        <f t="shared" si="5"/>
        <v>90.398526228199984</v>
      </c>
      <c r="AP13" s="310"/>
      <c r="AQ13" s="310"/>
      <c r="AR13" s="310"/>
    </row>
    <row r="14" spans="1:44" ht="15" customHeight="1" x14ac:dyDescent="0.25">
      <c r="A14" s="423"/>
      <c r="B14" s="424" t="s">
        <v>71</v>
      </c>
      <c r="C14" s="424"/>
      <c r="D14" s="424"/>
      <c r="E14" s="424"/>
      <c r="F14" s="424"/>
      <c r="G14" s="424"/>
      <c r="H14" s="424"/>
      <c r="I14" s="424"/>
      <c r="J14" s="424"/>
      <c r="K14" s="424"/>
      <c r="L14" s="310">
        <v>5.04</v>
      </c>
      <c r="M14" s="310">
        <v>4.8</v>
      </c>
      <c r="N14" s="310">
        <v>6.83</v>
      </c>
      <c r="O14" s="310">
        <v>14.73</v>
      </c>
      <c r="P14" s="310">
        <v>21.76</v>
      </c>
      <c r="Q14" s="310">
        <v>-1.52</v>
      </c>
      <c r="R14" s="310">
        <v>-0.18</v>
      </c>
      <c r="S14" s="310">
        <v>2.71</v>
      </c>
      <c r="T14" s="310">
        <v>1.65</v>
      </c>
      <c r="U14" s="310">
        <v>3.39</v>
      </c>
      <c r="V14" s="310">
        <v>-6.15</v>
      </c>
      <c r="W14" s="310">
        <v>41.18</v>
      </c>
      <c r="X14" s="310">
        <v>179.27</v>
      </c>
      <c r="Y14" s="310">
        <f t="shared" si="0"/>
        <v>13.737700874501705</v>
      </c>
      <c r="Z14" s="310"/>
      <c r="AA14" s="385"/>
      <c r="AB14" s="310">
        <v>7.5947397900999887</v>
      </c>
      <c r="AC14" s="310">
        <v>-3.4635192000003605</v>
      </c>
      <c r="AD14" s="310">
        <v>-2.9366692360982896</v>
      </c>
      <c r="AE14" s="310">
        <v>13.737700874501705</v>
      </c>
      <c r="AF14" s="501">
        <v>11.342129050899988</v>
      </c>
      <c r="AG14" s="308"/>
      <c r="AH14" s="308"/>
      <c r="AI14" s="308"/>
      <c r="AJ14" s="385"/>
      <c r="AK14" s="310">
        <f t="shared" si="1"/>
        <v>7.5947397900999887</v>
      </c>
      <c r="AL14" s="310">
        <f t="shared" si="2"/>
        <v>-11.058258990100349</v>
      </c>
      <c r="AM14" s="310">
        <f t="shared" si="3"/>
        <v>0.52684996390207095</v>
      </c>
      <c r="AN14" s="301">
        <f t="shared" si="4"/>
        <v>16.674370110599995</v>
      </c>
      <c r="AO14" s="310">
        <f t="shared" si="5"/>
        <v>11.342129050899988</v>
      </c>
      <c r="AP14" s="301"/>
      <c r="AQ14" s="301"/>
      <c r="AR14" s="301"/>
    </row>
    <row r="15" spans="1:44" ht="15" customHeight="1" x14ac:dyDescent="0.25">
      <c r="B15" s="128" t="s">
        <v>72</v>
      </c>
      <c r="C15" s="128"/>
      <c r="D15" s="128"/>
      <c r="E15" s="128"/>
      <c r="F15" s="128"/>
      <c r="G15" s="128"/>
      <c r="H15" s="128"/>
      <c r="I15" s="128"/>
      <c r="J15" s="128"/>
      <c r="K15" s="128"/>
      <c r="L15" s="301">
        <v>712.75</v>
      </c>
      <c r="M15" s="301">
        <v>800.74</v>
      </c>
      <c r="N15" s="301">
        <v>937.58</v>
      </c>
      <c r="O15" s="301">
        <v>920.51</v>
      </c>
      <c r="P15" s="301">
        <v>903.2</v>
      </c>
      <c r="Q15" s="301">
        <v>1142.29</v>
      </c>
      <c r="R15" s="301">
        <v>1170.95</v>
      </c>
      <c r="S15" s="301">
        <v>1366.32</v>
      </c>
      <c r="T15" s="301">
        <v>1299.9100000000001</v>
      </c>
      <c r="U15" s="301">
        <v>1651.42</v>
      </c>
      <c r="V15" s="301">
        <v>1654.73</v>
      </c>
      <c r="W15" s="301">
        <v>1760.04</v>
      </c>
      <c r="X15" s="301">
        <v>2157.21</v>
      </c>
      <c r="Y15" s="301">
        <f t="shared" si="0"/>
        <v>1834.6680351283469</v>
      </c>
      <c r="Z15" s="301"/>
      <c r="AB15" s="301">
        <v>447.61193284430232</v>
      </c>
      <c r="AC15" s="301">
        <v>754.10894819693851</v>
      </c>
      <c r="AD15" s="301">
        <v>1426.5493119776338</v>
      </c>
      <c r="AE15" s="301">
        <v>1834.6680351283469</v>
      </c>
      <c r="AF15" s="341">
        <v>453.76879259609865</v>
      </c>
      <c r="AG15" s="341"/>
      <c r="AH15" s="341"/>
      <c r="AI15" s="341"/>
      <c r="AK15" s="301">
        <f t="shared" si="1"/>
        <v>447.61193284430232</v>
      </c>
      <c r="AL15" s="301">
        <f t="shared" si="2"/>
        <v>306.4970153526362</v>
      </c>
      <c r="AM15" s="301">
        <f t="shared" si="3"/>
        <v>672.44036378069529</v>
      </c>
      <c r="AN15" s="301">
        <f t="shared" si="4"/>
        <v>408.11872315071309</v>
      </c>
      <c r="AO15" s="301">
        <f t="shared" si="5"/>
        <v>453.76879259609865</v>
      </c>
      <c r="AP15" s="301"/>
      <c r="AQ15" s="301"/>
      <c r="AR15" s="301"/>
    </row>
    <row r="16" spans="1:44" ht="15" customHeight="1" x14ac:dyDescent="0.25">
      <c r="B16" s="42" t="s">
        <v>459</v>
      </c>
      <c r="C16" s="42"/>
      <c r="D16" s="42"/>
      <c r="E16" s="42"/>
      <c r="F16" s="42"/>
      <c r="G16" s="42"/>
      <c r="H16" s="42"/>
      <c r="I16" s="42"/>
      <c r="J16" s="42"/>
      <c r="K16" s="42"/>
      <c r="L16" s="311">
        <v>0.75</v>
      </c>
      <c r="M16" s="311">
        <v>0.75</v>
      </c>
      <c r="N16" s="311">
        <v>0.73</v>
      </c>
      <c r="O16" s="311">
        <v>0.7</v>
      </c>
      <c r="P16" s="311">
        <v>0.71</v>
      </c>
      <c r="Q16" s="311">
        <v>0.74</v>
      </c>
      <c r="R16" s="311">
        <v>0.71</v>
      </c>
      <c r="S16" s="311">
        <v>0.75</v>
      </c>
      <c r="T16" s="311">
        <v>0.77</v>
      </c>
      <c r="U16" s="311">
        <v>0.9</v>
      </c>
      <c r="V16" s="311">
        <v>0.96</v>
      </c>
      <c r="W16" s="311">
        <v>1</v>
      </c>
      <c r="X16" s="311">
        <v>0.91</v>
      </c>
      <c r="Y16" s="311">
        <f t="shared" si="0"/>
        <v>0.81947130775513066</v>
      </c>
      <c r="Z16" s="311"/>
      <c r="AB16" s="311">
        <v>0.63379306471401975</v>
      </c>
      <c r="AC16" s="311">
        <v>0.61542598804949111</v>
      </c>
      <c r="AD16" s="311">
        <v>0.86245786199967456</v>
      </c>
      <c r="AE16" s="311">
        <v>0.81947130775513066</v>
      </c>
      <c r="AF16" s="292">
        <v>0.71846114400255634</v>
      </c>
      <c r="AG16" s="292"/>
      <c r="AH16" s="292"/>
      <c r="AI16" s="292"/>
      <c r="AK16" s="311">
        <f t="shared" si="1"/>
        <v>0.63379306471401975</v>
      </c>
      <c r="AL16" s="311">
        <f t="shared" si="2"/>
        <v>-1.8367076664528637E-2</v>
      </c>
      <c r="AM16" s="311">
        <f t="shared" si="3"/>
        <v>0.24703187395018344</v>
      </c>
      <c r="AN16" s="311">
        <f t="shared" si="4"/>
        <v>-4.2986554244543895E-2</v>
      </c>
      <c r="AO16" s="311">
        <f t="shared" si="5"/>
        <v>0.71846114400255634</v>
      </c>
      <c r="AP16" s="311"/>
      <c r="AQ16" s="311"/>
      <c r="AR16" s="311"/>
    </row>
    <row r="17" spans="1:44" ht="15" customHeight="1" outlineLevel="1" x14ac:dyDescent="0.25">
      <c r="B17" s="148" t="s">
        <v>41</v>
      </c>
      <c r="C17" s="148"/>
      <c r="D17" s="148"/>
      <c r="E17" s="148"/>
      <c r="F17" s="148"/>
      <c r="G17" s="148"/>
      <c r="H17" s="148"/>
      <c r="I17" s="148"/>
      <c r="J17" s="148"/>
      <c r="K17" s="148"/>
      <c r="L17" s="309">
        <f t="shared" ref="L17:T17" si="21">L202</f>
        <v>461.67</v>
      </c>
      <c r="M17" s="309">
        <f t="shared" si="21"/>
        <v>539.28</v>
      </c>
      <c r="N17" s="309">
        <f t="shared" si="21"/>
        <v>633.44000000000005</v>
      </c>
      <c r="O17" s="309">
        <f t="shared" si="21"/>
        <v>590.25</v>
      </c>
      <c r="P17" s="309">
        <f t="shared" si="21"/>
        <v>544.48</v>
      </c>
      <c r="Q17" s="309">
        <f t="shared" si="21"/>
        <v>690.16</v>
      </c>
      <c r="R17" s="309">
        <f t="shared" si="21"/>
        <v>666.47</v>
      </c>
      <c r="S17" s="309">
        <f t="shared" si="21"/>
        <v>728.59</v>
      </c>
      <c r="T17" s="309">
        <f t="shared" si="21"/>
        <v>652.79</v>
      </c>
      <c r="U17" s="309">
        <f>U202</f>
        <v>913.57</v>
      </c>
      <c r="V17" s="309">
        <f>V202</f>
        <v>856.47</v>
      </c>
      <c r="W17" s="309">
        <f>W202</f>
        <v>949.78</v>
      </c>
      <c r="X17" s="309">
        <f t="shared" ref="X17" si="22">X202</f>
        <v>1248.27</v>
      </c>
      <c r="Y17" s="309">
        <f t="shared" si="0"/>
        <v>1086.6112688606925</v>
      </c>
      <c r="Z17" s="309"/>
      <c r="AB17" s="309">
        <f t="shared" ref="AB17:AC17" si="23">AB202</f>
        <v>254.98655225230155</v>
      </c>
      <c r="AC17" s="309">
        <f t="shared" si="23"/>
        <v>374.86120579680693</v>
      </c>
      <c r="AD17" s="309">
        <f t="shared" ref="AD17:AE17" si="24">AD202</f>
        <v>941.57509812411365</v>
      </c>
      <c r="AE17" s="309">
        <f t="shared" si="24"/>
        <v>1086.6112688606925</v>
      </c>
      <c r="AF17" s="465">
        <f>AF202</f>
        <v>227.73583553269992</v>
      </c>
      <c r="AG17" s="465"/>
      <c r="AH17" s="465"/>
      <c r="AI17" s="465"/>
      <c r="AK17" s="309">
        <f t="shared" si="1"/>
        <v>254.98655225230155</v>
      </c>
      <c r="AL17" s="309">
        <f t="shared" si="2"/>
        <v>119.87465354450538</v>
      </c>
      <c r="AM17" s="309">
        <f t="shared" si="3"/>
        <v>566.71389232730667</v>
      </c>
      <c r="AN17" s="309">
        <f t="shared" si="4"/>
        <v>145.03617073657881</v>
      </c>
      <c r="AO17" s="309">
        <f t="shared" si="5"/>
        <v>227.73583553269992</v>
      </c>
      <c r="AP17" s="309"/>
      <c r="AQ17" s="309"/>
      <c r="AR17" s="309"/>
    </row>
    <row r="18" spans="1:44" ht="15" customHeight="1" outlineLevel="1" x14ac:dyDescent="0.25">
      <c r="B18" s="148" t="s">
        <v>3</v>
      </c>
      <c r="C18" s="148"/>
      <c r="D18" s="148"/>
      <c r="E18" s="148"/>
      <c r="F18" s="148"/>
      <c r="G18" s="148"/>
      <c r="H18" s="148"/>
      <c r="I18" s="148"/>
      <c r="J18" s="148"/>
      <c r="K18" s="148"/>
      <c r="L18" s="309">
        <f t="shared" ref="L18:U18" si="25">L152</f>
        <v>288.33</v>
      </c>
      <c r="M18" s="309">
        <f t="shared" si="25"/>
        <v>270.17</v>
      </c>
      <c r="N18" s="309">
        <f t="shared" si="25"/>
        <v>317.66000000000003</v>
      </c>
      <c r="O18" s="309">
        <f t="shared" si="25"/>
        <v>329.5</v>
      </c>
      <c r="P18" s="309">
        <f t="shared" si="25"/>
        <v>359.28</v>
      </c>
      <c r="Q18" s="309">
        <f t="shared" si="25"/>
        <v>461.9</v>
      </c>
      <c r="R18" s="309">
        <f t="shared" si="25"/>
        <v>501.53</v>
      </c>
      <c r="S18" s="309">
        <f t="shared" si="25"/>
        <v>598.58000000000004</v>
      </c>
      <c r="T18" s="309">
        <f t="shared" si="25"/>
        <v>634.41999999999996</v>
      </c>
      <c r="U18" s="309">
        <f t="shared" si="25"/>
        <v>614.53</v>
      </c>
      <c r="V18" s="309">
        <f>V152</f>
        <v>776.55</v>
      </c>
      <c r="W18" s="309">
        <f>W152</f>
        <v>746.68</v>
      </c>
      <c r="X18" s="309">
        <f t="shared" ref="X18" si="26">X152</f>
        <v>655.08000000000004</v>
      </c>
      <c r="Y18" s="309">
        <f t="shared" si="0"/>
        <v>583.70266976659889</v>
      </c>
      <c r="Z18" s="309"/>
      <c r="AB18" s="309">
        <f t="shared" ref="AB18:AC18" si="27">AB152</f>
        <v>173.48215329120126</v>
      </c>
      <c r="AC18" s="309">
        <f t="shared" si="27"/>
        <v>319.82968884940112</v>
      </c>
      <c r="AD18" s="309">
        <f t="shared" ref="AD18:AE18" si="28">AD152</f>
        <v>445.9664573676983</v>
      </c>
      <c r="AE18" s="309">
        <f t="shared" si="28"/>
        <v>583.70266976659889</v>
      </c>
      <c r="AF18" s="465">
        <f>AF152</f>
        <v>222.60244022539987</v>
      </c>
      <c r="AG18" s="465"/>
      <c r="AH18" s="465"/>
      <c r="AI18" s="465"/>
      <c r="AK18" s="309">
        <f t="shared" si="1"/>
        <v>173.48215329120126</v>
      </c>
      <c r="AL18" s="309">
        <f t="shared" si="2"/>
        <v>146.34753555819987</v>
      </c>
      <c r="AM18" s="309">
        <f t="shared" si="3"/>
        <v>126.13676851829717</v>
      </c>
      <c r="AN18" s="309">
        <f t="shared" si="4"/>
        <v>137.73621239890059</v>
      </c>
      <c r="AO18" s="309">
        <f t="shared" si="5"/>
        <v>222.60244022539987</v>
      </c>
      <c r="AP18" s="309"/>
      <c r="AQ18" s="309"/>
      <c r="AR18" s="309"/>
    </row>
    <row r="19" spans="1:44" ht="15" customHeight="1" outlineLevel="1" x14ac:dyDescent="0.25">
      <c r="B19" s="148" t="s">
        <v>270</v>
      </c>
      <c r="C19" s="148"/>
      <c r="D19" s="148"/>
      <c r="E19" s="148"/>
      <c r="F19" s="148"/>
      <c r="G19" s="148"/>
      <c r="H19" s="148"/>
      <c r="I19" s="148"/>
      <c r="J19" s="148"/>
      <c r="K19" s="148"/>
      <c r="L19" s="309">
        <f t="shared" ref="L19:U19" si="29">L298</f>
        <v>-0.44</v>
      </c>
      <c r="M19" s="309">
        <f t="shared" si="29"/>
        <v>13.1</v>
      </c>
      <c r="N19" s="309">
        <f t="shared" si="29"/>
        <v>16.559999999999999</v>
      </c>
      <c r="O19" s="309">
        <f t="shared" si="29"/>
        <v>14.45</v>
      </c>
      <c r="P19" s="309">
        <f t="shared" si="29"/>
        <v>15.29</v>
      </c>
      <c r="Q19" s="309">
        <f t="shared" si="29"/>
        <v>12.3</v>
      </c>
      <c r="R19" s="309">
        <f t="shared" si="29"/>
        <v>25.07</v>
      </c>
      <c r="S19" s="309">
        <f t="shared" si="29"/>
        <v>56.3</v>
      </c>
      <c r="T19" s="309">
        <f t="shared" si="29"/>
        <v>32.54</v>
      </c>
      <c r="U19" s="309">
        <f t="shared" si="29"/>
        <v>138.93</v>
      </c>
      <c r="V19" s="309">
        <f>V298</f>
        <v>25.99</v>
      </c>
      <c r="W19" s="309">
        <f>W298</f>
        <v>48.72</v>
      </c>
      <c r="X19" s="309">
        <f t="shared" ref="X19" si="30">X298</f>
        <v>177.42</v>
      </c>
      <c r="Y19" s="309">
        <f t="shared" si="0"/>
        <v>155.57541180649969</v>
      </c>
      <c r="Z19" s="309"/>
      <c r="AB19" s="309">
        <f t="shared" ref="AB19:AC19" si="31">AB298</f>
        <v>17.503074252700017</v>
      </c>
      <c r="AC19" s="309">
        <f t="shared" si="31"/>
        <v>33.381686554200058</v>
      </c>
      <c r="AD19" s="309">
        <f t="shared" ref="AD19:AE19" si="32">AD298</f>
        <v>62.226772822400122</v>
      </c>
      <c r="AE19" s="309">
        <f t="shared" si="32"/>
        <v>155.57541180649969</v>
      </c>
      <c r="AF19" s="465">
        <f>AF298</f>
        <v>8.1108967535000183</v>
      </c>
      <c r="AG19" s="465"/>
      <c r="AH19" s="465"/>
      <c r="AI19" s="465"/>
      <c r="AK19" s="309">
        <f t="shared" si="1"/>
        <v>17.503074252700017</v>
      </c>
      <c r="AL19" s="309">
        <f t="shared" si="2"/>
        <v>15.878612301500041</v>
      </c>
      <c r="AM19" s="309">
        <f t="shared" si="3"/>
        <v>28.845086268200063</v>
      </c>
      <c r="AN19" s="309">
        <f t="shared" si="4"/>
        <v>93.348638984099566</v>
      </c>
      <c r="AO19" s="309">
        <f t="shared" si="5"/>
        <v>8.1108967535000183</v>
      </c>
      <c r="AP19" s="309"/>
      <c r="AQ19" s="309"/>
      <c r="AR19" s="309"/>
    </row>
    <row r="20" spans="1:44" ht="15" customHeight="1" outlineLevel="1" x14ac:dyDescent="0.25">
      <c r="B20" s="148" t="s">
        <v>42</v>
      </c>
      <c r="C20" s="148"/>
      <c r="D20" s="148"/>
      <c r="E20" s="148"/>
      <c r="F20" s="148"/>
      <c r="G20" s="148"/>
      <c r="H20" s="148"/>
      <c r="I20" s="148"/>
      <c r="J20" s="148"/>
      <c r="K20" s="148"/>
      <c r="L20" s="309">
        <f>L15-SUM(L17:L19)</f>
        <v>-36.809999999999945</v>
      </c>
      <c r="M20" s="309">
        <f t="shared" ref="M20:U20" si="33">M15-SUM(M17:M19)</f>
        <v>-21.810000000000059</v>
      </c>
      <c r="N20" s="309">
        <f t="shared" si="33"/>
        <v>-30.080000000000041</v>
      </c>
      <c r="O20" s="309">
        <f t="shared" si="33"/>
        <v>-13.690000000000055</v>
      </c>
      <c r="P20" s="309">
        <f t="shared" si="33"/>
        <v>-15.849999999999909</v>
      </c>
      <c r="Q20" s="309">
        <f t="shared" si="33"/>
        <v>-22.069999999999936</v>
      </c>
      <c r="R20" s="309">
        <f t="shared" si="33"/>
        <v>-22.119999999999891</v>
      </c>
      <c r="S20" s="309">
        <f t="shared" si="33"/>
        <v>-17.150000000000091</v>
      </c>
      <c r="T20" s="309">
        <f t="shared" si="33"/>
        <v>-19.839999999999918</v>
      </c>
      <c r="U20" s="309">
        <f t="shared" si="33"/>
        <v>-15.6099999999999</v>
      </c>
      <c r="V20" s="309">
        <f>V15-SUM(V17:V19)</f>
        <v>-4.2799999999999727</v>
      </c>
      <c r="W20" s="309">
        <f>W15-SUM(W17:W19)</f>
        <v>14.8599999999999</v>
      </c>
      <c r="X20" s="309">
        <f t="shared" ref="X20" si="34">X15-SUM(X17:X19)</f>
        <v>76.440000000000055</v>
      </c>
      <c r="Y20" s="309">
        <f t="shared" si="0"/>
        <v>8.77868469455575</v>
      </c>
      <c r="Z20" s="309"/>
      <c r="AB20" s="309">
        <f t="shared" ref="AB20:AC20" si="35">AB15-SUM(AB17:AB19)</f>
        <v>1.6401530480995348</v>
      </c>
      <c r="AC20" s="309">
        <f t="shared" si="35"/>
        <v>26.036366996530319</v>
      </c>
      <c r="AD20" s="309">
        <f t="shared" ref="AD20:AE20" si="36">AD15-SUM(AD17:AD19)</f>
        <v>-23.219016336578306</v>
      </c>
      <c r="AE20" s="309">
        <f t="shared" si="36"/>
        <v>8.77868469455575</v>
      </c>
      <c r="AF20" s="465">
        <f>AF15-SUM(AF17:AF19)</f>
        <v>-4.6803799155011916</v>
      </c>
      <c r="AG20" s="465"/>
      <c r="AH20" s="465"/>
      <c r="AI20" s="465"/>
      <c r="AK20" s="309">
        <f t="shared" si="1"/>
        <v>1.6401530480995348</v>
      </c>
      <c r="AL20" s="309">
        <f t="shared" si="2"/>
        <v>24.396213948430784</v>
      </c>
      <c r="AM20" s="309">
        <f t="shared" si="3"/>
        <v>-49.255383333108625</v>
      </c>
      <c r="AN20" s="309">
        <f t="shared" si="4"/>
        <v>31.997701031134056</v>
      </c>
      <c r="AO20" s="309">
        <f t="shared" si="5"/>
        <v>-4.6803799155011916</v>
      </c>
      <c r="AP20" s="309"/>
      <c r="AQ20" s="309"/>
      <c r="AR20" s="309"/>
    </row>
    <row r="21" spans="1:44" ht="15" customHeight="1" x14ac:dyDescent="0.25">
      <c r="B21" s="42" t="s">
        <v>74</v>
      </c>
      <c r="C21" s="42"/>
      <c r="D21" s="42"/>
      <c r="E21" s="42"/>
      <c r="F21" s="42"/>
      <c r="G21" s="42"/>
      <c r="H21" s="42"/>
      <c r="I21" s="42"/>
      <c r="J21" s="42"/>
      <c r="K21" s="42"/>
      <c r="L21" s="310">
        <v>-0.16</v>
      </c>
      <c r="M21" s="310">
        <v>-0.27</v>
      </c>
      <c r="N21" s="310">
        <v>0</v>
      </c>
      <c r="O21" s="310">
        <v>1.29</v>
      </c>
      <c r="P21" s="310">
        <v>0.02</v>
      </c>
      <c r="Q21" s="310">
        <v>-0.17</v>
      </c>
      <c r="R21" s="310">
        <v>4.7</v>
      </c>
      <c r="S21" s="310">
        <v>-0.19</v>
      </c>
      <c r="T21" s="310">
        <v>0.33</v>
      </c>
      <c r="U21" s="310">
        <v>1.24</v>
      </c>
      <c r="V21" s="310">
        <v>0.7</v>
      </c>
      <c r="W21" s="310">
        <v>1.56</v>
      </c>
      <c r="X21" s="310">
        <v>-5.61</v>
      </c>
      <c r="Y21" s="310">
        <f>(AE21)</f>
        <v>-16.467327647599994</v>
      </c>
      <c r="Z21" s="310"/>
      <c r="AB21" s="310">
        <v>-0.56144065000000032</v>
      </c>
      <c r="AC21" s="310">
        <v>-15.240372950000003</v>
      </c>
      <c r="AD21" s="310">
        <v>-15.230252959900019</v>
      </c>
      <c r="AE21" s="310">
        <v>-16.467327647599994</v>
      </c>
      <c r="AF21" s="501">
        <v>1.0119990000000001E-2</v>
      </c>
      <c r="AG21" s="308"/>
      <c r="AH21" s="308"/>
      <c r="AI21" s="308"/>
      <c r="AK21" s="310">
        <f t="shared" si="1"/>
        <v>-0.56144065000000032</v>
      </c>
      <c r="AL21" s="310">
        <f t="shared" si="2"/>
        <v>-14.678932300000003</v>
      </c>
      <c r="AM21" s="310">
        <f t="shared" si="3"/>
        <v>1.0119990099983767E-2</v>
      </c>
      <c r="AN21" s="310">
        <f t="shared" si="4"/>
        <v>-1.237074687699975</v>
      </c>
      <c r="AO21" s="310">
        <f t="shared" si="5"/>
        <v>1.0119990000000001E-2</v>
      </c>
      <c r="AP21" s="310"/>
      <c r="AQ21" s="310"/>
      <c r="AR21" s="310"/>
    </row>
    <row r="22" spans="1:44" ht="15" customHeight="1" x14ac:dyDescent="0.25">
      <c r="B22" s="42" t="s">
        <v>75</v>
      </c>
      <c r="C22" s="42"/>
      <c r="D22" s="42"/>
      <c r="E22" s="42"/>
      <c r="F22" s="42"/>
      <c r="G22" s="42"/>
      <c r="H22" s="42"/>
      <c r="I22" s="42"/>
      <c r="J22" s="42"/>
      <c r="K22" s="42"/>
      <c r="L22" s="310">
        <v>434.4</v>
      </c>
      <c r="M22" s="310">
        <v>468.49</v>
      </c>
      <c r="N22" s="310">
        <v>502.71</v>
      </c>
      <c r="O22" s="310">
        <v>464.67</v>
      </c>
      <c r="P22" s="310">
        <v>499.78</v>
      </c>
      <c r="Q22" s="310">
        <v>587.47</v>
      </c>
      <c r="R22" s="310">
        <v>624.5</v>
      </c>
      <c r="S22" s="310">
        <v>582.87</v>
      </c>
      <c r="T22" s="310">
        <v>562.04</v>
      </c>
      <c r="U22" s="310">
        <v>608.95000000000005</v>
      </c>
      <c r="V22" s="310">
        <v>616.61</v>
      </c>
      <c r="W22" s="310">
        <v>623.32000000000005</v>
      </c>
      <c r="X22" s="310">
        <v>771.06</v>
      </c>
      <c r="Y22" s="310">
        <f>(AE22)</f>
        <v>964.59857069360169</v>
      </c>
      <c r="Z22" s="310"/>
      <c r="AB22" s="310">
        <v>186.34769665179951</v>
      </c>
      <c r="AC22" s="310">
        <v>378.98830653140044</v>
      </c>
      <c r="AD22" s="310">
        <v>571.10971756299944</v>
      </c>
      <c r="AE22" s="310">
        <v>964.59857069360169</v>
      </c>
      <c r="AF22" s="501">
        <v>199.42460755890048</v>
      </c>
      <c r="AG22" s="308"/>
      <c r="AH22" s="308"/>
      <c r="AI22" s="308"/>
      <c r="AK22" s="310">
        <f t="shared" si="1"/>
        <v>186.34769665179951</v>
      </c>
      <c r="AL22" s="310">
        <f t="shared" si="2"/>
        <v>192.64060987960093</v>
      </c>
      <c r="AM22" s="310">
        <f t="shared" si="3"/>
        <v>192.121411031599</v>
      </c>
      <c r="AN22" s="310">
        <f t="shared" si="4"/>
        <v>393.48885313060225</v>
      </c>
      <c r="AO22" s="310">
        <f t="shared" si="5"/>
        <v>199.42460755890048</v>
      </c>
      <c r="AP22" s="310"/>
      <c r="AQ22" s="310"/>
      <c r="AR22" s="310"/>
    </row>
    <row r="23" spans="1:44" ht="15" customHeight="1" x14ac:dyDescent="0.25">
      <c r="B23" s="42" t="s">
        <v>76</v>
      </c>
      <c r="C23" s="42"/>
      <c r="D23" s="42"/>
      <c r="E23" s="42"/>
      <c r="F23" s="42"/>
      <c r="G23" s="42"/>
      <c r="H23" s="42"/>
      <c r="I23" s="42"/>
      <c r="J23" s="42"/>
      <c r="K23" s="42"/>
      <c r="L23" s="310">
        <v>11.41</v>
      </c>
      <c r="M23" s="310">
        <v>14.99</v>
      </c>
      <c r="N23" s="310">
        <v>15.23</v>
      </c>
      <c r="O23" s="310">
        <v>18.47</v>
      </c>
      <c r="P23" s="310">
        <v>19.02</v>
      </c>
      <c r="Q23" s="310">
        <v>22.84</v>
      </c>
      <c r="R23" s="310">
        <v>22.21</v>
      </c>
      <c r="S23" s="310">
        <v>19.510000000000002</v>
      </c>
      <c r="T23" s="310">
        <v>16.16</v>
      </c>
      <c r="U23" s="310">
        <v>17.329999999999998</v>
      </c>
      <c r="V23" s="310">
        <v>16.579999999999998</v>
      </c>
      <c r="W23" s="310">
        <v>16.03</v>
      </c>
      <c r="X23" s="310">
        <v>19.75</v>
      </c>
      <c r="Y23" s="310">
        <f t="shared" ref="Y23:Y34" si="37">AE23</f>
        <v>20.937256573500001</v>
      </c>
      <c r="Z23" s="310"/>
      <c r="AB23" s="310">
        <v>4.5371510134999973</v>
      </c>
      <c r="AC23" s="310">
        <v>9.0306980689999978</v>
      </c>
      <c r="AD23" s="310">
        <v>15.949409977099993</v>
      </c>
      <c r="AE23" s="310">
        <v>20.937256573500001</v>
      </c>
      <c r="AF23" s="501">
        <v>4.803682790399999</v>
      </c>
      <c r="AG23" s="308"/>
      <c r="AH23" s="308"/>
      <c r="AI23" s="308"/>
      <c r="AK23" s="310">
        <f t="shared" si="1"/>
        <v>4.5371510134999973</v>
      </c>
      <c r="AL23" s="310">
        <f t="shared" si="2"/>
        <v>4.4935470555000006</v>
      </c>
      <c r="AM23" s="310">
        <f t="shared" si="3"/>
        <v>6.9187119080999953</v>
      </c>
      <c r="AN23" s="310">
        <f t="shared" si="4"/>
        <v>4.9878465964000078</v>
      </c>
      <c r="AO23" s="310">
        <f t="shared" si="5"/>
        <v>4.803682790399999</v>
      </c>
      <c r="AP23" s="310"/>
      <c r="AQ23" s="310"/>
      <c r="AR23" s="310"/>
    </row>
    <row r="24" spans="1:44" s="251" customFormat="1" ht="15" customHeight="1" x14ac:dyDescent="0.25">
      <c r="A24" s="6"/>
      <c r="B24" s="128" t="s">
        <v>77</v>
      </c>
      <c r="C24" s="128"/>
      <c r="D24" s="128"/>
      <c r="E24" s="128"/>
      <c r="F24" s="128"/>
      <c r="G24" s="128"/>
      <c r="H24" s="128"/>
      <c r="I24" s="128"/>
      <c r="J24" s="128"/>
      <c r="K24" s="128"/>
      <c r="L24" s="301">
        <v>289.91000000000003</v>
      </c>
      <c r="M24" s="301">
        <v>347.5</v>
      </c>
      <c r="N24" s="301">
        <v>450.11</v>
      </c>
      <c r="O24" s="301">
        <v>473.02</v>
      </c>
      <c r="P24" s="301">
        <v>422.41</v>
      </c>
      <c r="Q24" s="301">
        <v>577.84</v>
      </c>
      <c r="R24" s="301">
        <v>563.96</v>
      </c>
      <c r="S24" s="301">
        <v>803.14</v>
      </c>
      <c r="T24" s="301">
        <v>753.7</v>
      </c>
      <c r="U24" s="301">
        <v>1058.5600000000002</v>
      </c>
      <c r="V24" s="301">
        <v>1053.99</v>
      </c>
      <c r="W24" s="301">
        <v>1151.19</v>
      </c>
      <c r="X24" s="301">
        <v>1411.51</v>
      </c>
      <c r="Y24" s="301">
        <f t="shared" si="37"/>
        <v>874.53939336058784</v>
      </c>
      <c r="Z24" s="301"/>
      <c r="AB24" s="301">
        <v>266.36282785600901</v>
      </c>
      <c r="AC24" s="301">
        <v>368.91096678454591</v>
      </c>
      <c r="AD24" s="301">
        <v>856.15875143191602</v>
      </c>
      <c r="AE24" s="301">
        <v>874.53939336058784</v>
      </c>
      <c r="AF24" s="341">
        <v>259.15798781759793</v>
      </c>
      <c r="AG24" s="341"/>
      <c r="AH24" s="341"/>
      <c r="AI24" s="341"/>
      <c r="AK24" s="301">
        <f t="shared" si="1"/>
        <v>266.36282785600901</v>
      </c>
      <c r="AL24" s="301">
        <f t="shared" si="2"/>
        <v>102.5481389285369</v>
      </c>
      <c r="AM24" s="301">
        <f t="shared" si="3"/>
        <v>487.24778464737011</v>
      </c>
      <c r="AN24" s="301">
        <f t="shared" si="4"/>
        <v>18.380641928671821</v>
      </c>
      <c r="AO24" s="301">
        <f t="shared" si="5"/>
        <v>259.15798781759793</v>
      </c>
      <c r="AP24" s="301"/>
      <c r="AQ24" s="301"/>
      <c r="AR24" s="301"/>
    </row>
    <row r="25" spans="1:44" s="251" customFormat="1" ht="15" customHeight="1" outlineLevel="1" x14ac:dyDescent="0.25">
      <c r="A25" s="6"/>
      <c r="B25" s="148" t="s">
        <v>41</v>
      </c>
      <c r="C25" s="148"/>
      <c r="D25" s="148"/>
      <c r="E25" s="148"/>
      <c r="F25" s="148"/>
      <c r="G25" s="148"/>
      <c r="H25" s="148"/>
      <c r="I25" s="148"/>
      <c r="J25" s="148"/>
      <c r="K25" s="148"/>
      <c r="L25" s="309">
        <f t="shared" ref="L25:U25" si="38">L210</f>
        <v>254.17</v>
      </c>
      <c r="M25" s="309">
        <f t="shared" si="38"/>
        <v>288.61</v>
      </c>
      <c r="N25" s="309">
        <f t="shared" si="38"/>
        <v>374.42</v>
      </c>
      <c r="O25" s="309">
        <f t="shared" si="38"/>
        <v>355.45</v>
      </c>
      <c r="P25" s="309">
        <f t="shared" si="38"/>
        <v>275.26</v>
      </c>
      <c r="Q25" s="309">
        <f t="shared" si="38"/>
        <v>400.85</v>
      </c>
      <c r="R25" s="309">
        <f t="shared" si="38"/>
        <v>359.79</v>
      </c>
      <c r="S25" s="309">
        <f t="shared" si="38"/>
        <v>437.02</v>
      </c>
      <c r="T25" s="309">
        <f t="shared" si="38"/>
        <v>399.37</v>
      </c>
      <c r="U25" s="309">
        <f t="shared" si="38"/>
        <v>658.09</v>
      </c>
      <c r="V25" s="309">
        <f>V210</f>
        <v>633.49</v>
      </c>
      <c r="W25" s="309">
        <f>W210</f>
        <v>697.53</v>
      </c>
      <c r="X25" s="309">
        <f t="shared" ref="X25" si="39">X210</f>
        <v>1007.96</v>
      </c>
      <c r="Y25" s="309">
        <f t="shared" si="37"/>
        <v>854.85381794789453</v>
      </c>
      <c r="Z25" s="309"/>
      <c r="AB25" s="309">
        <f t="shared" ref="AB25:AC25" si="40">AB210</f>
        <v>192.70749899620199</v>
      </c>
      <c r="AC25" s="309">
        <f t="shared" si="40"/>
        <v>231.25816930530632</v>
      </c>
      <c r="AD25" s="309">
        <f t="shared" ref="AD25:AE25" si="41">AD210</f>
        <v>732.6936723000349</v>
      </c>
      <c r="AE25" s="309">
        <f t="shared" si="41"/>
        <v>854.85381794789453</v>
      </c>
      <c r="AF25" s="465">
        <f>AF210</f>
        <v>163.35057189630007</v>
      </c>
      <c r="AG25" s="465"/>
      <c r="AH25" s="465"/>
      <c r="AI25" s="465"/>
      <c r="AK25" s="309">
        <f t="shared" si="1"/>
        <v>192.70749899620199</v>
      </c>
      <c r="AL25" s="309">
        <f t="shared" si="2"/>
        <v>38.550670309104333</v>
      </c>
      <c r="AM25" s="309">
        <f t="shared" si="3"/>
        <v>501.43550299472861</v>
      </c>
      <c r="AN25" s="309">
        <f t="shared" si="4"/>
        <v>122.16014564785962</v>
      </c>
      <c r="AO25" s="309">
        <f t="shared" si="5"/>
        <v>163.35057189630007</v>
      </c>
      <c r="AP25" s="309"/>
      <c r="AQ25" s="309"/>
      <c r="AR25" s="309"/>
    </row>
    <row r="26" spans="1:44" ht="15" customHeight="1" outlineLevel="1" x14ac:dyDescent="0.25">
      <c r="B26" s="148" t="s">
        <v>3</v>
      </c>
      <c r="C26" s="148"/>
      <c r="D26" s="148"/>
      <c r="E26" s="148"/>
      <c r="F26" s="148"/>
      <c r="G26" s="148"/>
      <c r="H26" s="148"/>
      <c r="I26" s="148"/>
      <c r="J26" s="148"/>
      <c r="K26" s="148"/>
      <c r="L26" s="309">
        <f>L157</f>
        <v>75.94</v>
      </c>
      <c r="M26" s="309">
        <f t="shared" ref="M26:U26" si="42">M157</f>
        <v>74.209999999999994</v>
      </c>
      <c r="N26" s="309">
        <f t="shared" si="42"/>
        <v>98.32</v>
      </c>
      <c r="O26" s="309">
        <f t="shared" si="42"/>
        <v>128.9</v>
      </c>
      <c r="P26" s="309">
        <f t="shared" si="42"/>
        <v>156.84</v>
      </c>
      <c r="Q26" s="309">
        <f t="shared" si="42"/>
        <v>195</v>
      </c>
      <c r="R26" s="309">
        <f t="shared" si="42"/>
        <v>212.49</v>
      </c>
      <c r="S26" s="309">
        <f t="shared" si="42"/>
        <v>340.06</v>
      </c>
      <c r="T26" s="309">
        <f t="shared" si="42"/>
        <v>361.44</v>
      </c>
      <c r="U26" s="309">
        <f t="shared" si="42"/>
        <v>297.63</v>
      </c>
      <c r="V26" s="309">
        <f>V157</f>
        <v>417.6</v>
      </c>
      <c r="W26" s="309">
        <f>W157</f>
        <v>410.79</v>
      </c>
      <c r="X26" s="309">
        <f t="shared" ref="X26" si="43">X157</f>
        <v>255.81</v>
      </c>
      <c r="Y26" s="309">
        <f t="shared" si="37"/>
        <v>141.76097417359679</v>
      </c>
      <c r="Z26" s="309"/>
      <c r="AB26" s="309">
        <f t="shared" ref="AB26:AC26" si="44">AB157</f>
        <v>75.160868928700168</v>
      </c>
      <c r="AC26" s="309">
        <f t="shared" si="44"/>
        <v>123.16206954220038</v>
      </c>
      <c r="AD26" s="309">
        <f t="shared" ref="AD26:AE26" si="45">AD157</f>
        <v>150.64459956119853</v>
      </c>
      <c r="AE26" s="309">
        <f t="shared" si="45"/>
        <v>141.76097417359679</v>
      </c>
      <c r="AF26" s="465">
        <f>AF157</f>
        <v>117.31784350959994</v>
      </c>
      <c r="AG26" s="465"/>
      <c r="AH26" s="465"/>
      <c r="AI26" s="465"/>
      <c r="AK26" s="309">
        <f t="shared" si="1"/>
        <v>75.160868928700168</v>
      </c>
      <c r="AL26" s="309">
        <f t="shared" si="2"/>
        <v>48.001200613500217</v>
      </c>
      <c r="AM26" s="309">
        <f t="shared" si="3"/>
        <v>27.482530018998148</v>
      </c>
      <c r="AN26" s="309">
        <f t="shared" si="4"/>
        <v>-8.8836253876017395</v>
      </c>
      <c r="AO26" s="309">
        <f t="shared" si="5"/>
        <v>117.31784350959994</v>
      </c>
      <c r="AP26" s="309"/>
      <c r="AQ26" s="309"/>
      <c r="AR26" s="309"/>
    </row>
    <row r="27" spans="1:44" ht="15" customHeight="1" outlineLevel="1" x14ac:dyDescent="0.25">
      <c r="B27" s="148" t="s">
        <v>270</v>
      </c>
      <c r="C27" s="148"/>
      <c r="D27" s="148"/>
      <c r="E27" s="148"/>
      <c r="F27" s="148"/>
      <c r="G27" s="148"/>
      <c r="H27" s="148"/>
      <c r="I27" s="148"/>
      <c r="J27" s="148"/>
      <c r="K27" s="148"/>
      <c r="L27" s="309">
        <f t="shared" ref="L27:U27" si="46">L303</f>
        <v>-1.78</v>
      </c>
      <c r="M27" s="309">
        <f t="shared" si="46"/>
        <v>8.5399999999999991</v>
      </c>
      <c r="N27" s="309">
        <f t="shared" si="46"/>
        <v>10.23</v>
      </c>
      <c r="O27" s="309">
        <f t="shared" si="46"/>
        <v>8.01</v>
      </c>
      <c r="P27" s="309">
        <f t="shared" si="46"/>
        <v>9.3800000000000008</v>
      </c>
      <c r="Q27" s="309">
        <f t="shared" si="46"/>
        <v>7.23</v>
      </c>
      <c r="R27" s="309">
        <f t="shared" si="46"/>
        <v>17.079999999999998</v>
      </c>
      <c r="S27" s="309">
        <f t="shared" si="46"/>
        <v>46.05</v>
      </c>
      <c r="T27" s="309">
        <f t="shared" si="46"/>
        <v>19.059999999999999</v>
      </c>
      <c r="U27" s="309">
        <f t="shared" si="46"/>
        <v>123.22</v>
      </c>
      <c r="V27" s="309">
        <f>V303</f>
        <v>17.149999999999999</v>
      </c>
      <c r="W27" s="309">
        <f>W303</f>
        <v>37.700000000000003</v>
      </c>
      <c r="X27" s="309">
        <f t="shared" ref="X27" si="47">X303</f>
        <v>158.63999999999999</v>
      </c>
      <c r="Y27" s="309">
        <f t="shared" si="37"/>
        <v>121.63859164429957</v>
      </c>
      <c r="Z27" s="309"/>
      <c r="AB27" s="309">
        <f t="shared" ref="AB27:AC27" si="48">AB303</f>
        <v>9.6444983526000136</v>
      </c>
      <c r="AC27" s="309">
        <f t="shared" si="48"/>
        <v>17.395257063899894</v>
      </c>
      <c r="AD27" s="309">
        <f t="shared" ref="AD27:AE27" si="49">AD303</f>
        <v>38.605614927900113</v>
      </c>
      <c r="AE27" s="309">
        <f t="shared" si="49"/>
        <v>121.63859164429957</v>
      </c>
      <c r="AF27" s="465">
        <f>AF303</f>
        <v>1.6857580932000154</v>
      </c>
      <c r="AG27" s="465"/>
      <c r="AH27" s="465"/>
      <c r="AI27" s="465"/>
      <c r="AK27" s="309">
        <f t="shared" si="1"/>
        <v>9.6444983526000136</v>
      </c>
      <c r="AL27" s="309">
        <f t="shared" si="2"/>
        <v>7.7507587112998806</v>
      </c>
      <c r="AM27" s="309">
        <f t="shared" si="3"/>
        <v>21.210357864000219</v>
      </c>
      <c r="AN27" s="309">
        <f t="shared" si="4"/>
        <v>83.032976716399446</v>
      </c>
      <c r="AO27" s="309">
        <f t="shared" si="5"/>
        <v>1.6857580932000154</v>
      </c>
      <c r="AP27" s="309"/>
      <c r="AQ27" s="309"/>
      <c r="AR27" s="309"/>
    </row>
    <row r="28" spans="1:44" ht="15" customHeight="1" outlineLevel="1" x14ac:dyDescent="0.25">
      <c r="B28" s="148" t="s">
        <v>42</v>
      </c>
      <c r="C28" s="148"/>
      <c r="D28" s="148"/>
      <c r="E28" s="148"/>
      <c r="F28" s="148"/>
      <c r="G28" s="148"/>
      <c r="H28" s="148"/>
      <c r="I28" s="148"/>
      <c r="J28" s="148"/>
      <c r="K28" s="148"/>
      <c r="L28" s="309">
        <f>L24-SUM(L25:L27)</f>
        <v>-38.420000000000016</v>
      </c>
      <c r="M28" s="309">
        <f t="shared" ref="M28:U28" si="50">M24-SUM(M25:M27)</f>
        <v>-23.860000000000014</v>
      </c>
      <c r="N28" s="309">
        <f t="shared" si="50"/>
        <v>-32.860000000000014</v>
      </c>
      <c r="O28" s="309">
        <f t="shared" si="50"/>
        <v>-19.340000000000032</v>
      </c>
      <c r="P28" s="309">
        <f t="shared" si="50"/>
        <v>-19.069999999999993</v>
      </c>
      <c r="Q28" s="309">
        <f t="shared" si="50"/>
        <v>-25.240000000000009</v>
      </c>
      <c r="R28" s="309">
        <f t="shared" si="50"/>
        <v>-25.399999999999977</v>
      </c>
      <c r="S28" s="309">
        <f t="shared" si="50"/>
        <v>-19.989999999999895</v>
      </c>
      <c r="T28" s="309">
        <f t="shared" si="50"/>
        <v>-26.169999999999845</v>
      </c>
      <c r="U28" s="309">
        <f t="shared" si="50"/>
        <v>-20.379999999999882</v>
      </c>
      <c r="V28" s="309">
        <f>V24-SUM(V25:V27)</f>
        <v>-14.250000000000227</v>
      </c>
      <c r="W28" s="309">
        <f>W24-SUM(W25:W27)</f>
        <v>5.1700000000000728</v>
      </c>
      <c r="X28" s="309">
        <f t="shared" ref="X28" si="51">X24-SUM(X25:X27)</f>
        <v>-10.899999999999864</v>
      </c>
      <c r="Y28" s="309">
        <f t="shared" si="37"/>
        <v>-243.71399040520305</v>
      </c>
      <c r="Z28" s="309"/>
      <c r="AB28" s="309">
        <f t="shared" ref="AB28:AC28" si="52">AB24-SUM(AB25:AB27)</f>
        <v>-11.15003842149315</v>
      </c>
      <c r="AC28" s="309">
        <f t="shared" si="52"/>
        <v>-2.904529126860723</v>
      </c>
      <c r="AD28" s="309">
        <f t="shared" ref="AD28:AE28" si="53">AD24-SUM(AD25:AD27)</f>
        <v>-65.785135357217541</v>
      </c>
      <c r="AE28" s="309">
        <f t="shared" si="53"/>
        <v>-243.71399040520305</v>
      </c>
      <c r="AF28" s="465">
        <f>AF24-SUM(AF25:AF27)</f>
        <v>-23.196185681502129</v>
      </c>
      <c r="AG28" s="465"/>
      <c r="AH28" s="465"/>
      <c r="AI28" s="465"/>
      <c r="AK28" s="309">
        <f t="shared" si="1"/>
        <v>-11.15003842149315</v>
      </c>
      <c r="AL28" s="309">
        <f t="shared" si="2"/>
        <v>8.2455092946324271</v>
      </c>
      <c r="AM28" s="309">
        <f t="shared" si="3"/>
        <v>-62.880606230356818</v>
      </c>
      <c r="AN28" s="309">
        <f t="shared" si="4"/>
        <v>-177.92885504798551</v>
      </c>
      <c r="AO28" s="309">
        <f t="shared" si="5"/>
        <v>-23.196185681502129</v>
      </c>
      <c r="AP28" s="309"/>
      <c r="AQ28" s="309"/>
      <c r="AR28" s="309"/>
    </row>
    <row r="29" spans="1:44" ht="15" customHeight="1" x14ac:dyDescent="0.25">
      <c r="B29" t="s">
        <v>460</v>
      </c>
      <c r="L29" s="310">
        <v>-174.15</v>
      </c>
      <c r="M29" s="310">
        <v>-233.63</v>
      </c>
      <c r="N29" s="310">
        <v>-274.85000000000002</v>
      </c>
      <c r="O29" s="310">
        <v>-261.70999999999998</v>
      </c>
      <c r="P29" s="310">
        <v>-249.88</v>
      </c>
      <c r="Q29" s="310">
        <v>-285.48</v>
      </c>
      <c r="R29" s="310">
        <v>-350.09</v>
      </c>
      <c r="S29" s="310">
        <v>-301.58</v>
      </c>
      <c r="T29" s="310">
        <v>-219.74</v>
      </c>
      <c r="U29" s="310">
        <v>-349.46</v>
      </c>
      <c r="V29" s="310">
        <v>-285.06</v>
      </c>
      <c r="W29" s="310">
        <v>-248.6</v>
      </c>
      <c r="X29" s="310">
        <v>-449.1</v>
      </c>
      <c r="Y29" s="310">
        <f t="shared" si="37"/>
        <v>-313.21352849292947</v>
      </c>
      <c r="Z29" s="310"/>
      <c r="AB29" s="310">
        <v>-126.07422979229976</v>
      </c>
      <c r="AC29" s="310">
        <v>-158.80740969310045</v>
      </c>
      <c r="AD29" s="310">
        <v>-256.84177533829092</v>
      </c>
      <c r="AE29" s="310">
        <v>-313.21352849292947</v>
      </c>
      <c r="AF29" s="501">
        <v>-108.39493698199963</v>
      </c>
      <c r="AG29" s="308"/>
      <c r="AH29" s="308"/>
      <c r="AI29" s="308"/>
      <c r="AK29" s="310">
        <f t="shared" si="1"/>
        <v>-126.07422979229976</v>
      </c>
      <c r="AL29" s="310">
        <f t="shared" si="2"/>
        <v>-32.733179900800693</v>
      </c>
      <c r="AM29" s="310">
        <f t="shared" si="3"/>
        <v>-98.034365645190462</v>
      </c>
      <c r="AN29" s="310">
        <f t="shared" si="4"/>
        <v>-56.371753154638554</v>
      </c>
      <c r="AO29" s="310">
        <f t="shared" si="5"/>
        <v>-108.39493698199963</v>
      </c>
      <c r="AP29" s="310"/>
      <c r="AQ29" s="310"/>
      <c r="AR29" s="310"/>
    </row>
    <row r="30" spans="1:44" ht="15" customHeight="1" x14ac:dyDescent="0.25">
      <c r="B30" s="6" t="s">
        <v>461</v>
      </c>
      <c r="C30" s="6"/>
      <c r="D30" s="6"/>
      <c r="E30" s="6"/>
      <c r="F30" s="6"/>
      <c r="G30" s="6"/>
      <c r="H30" s="6"/>
      <c r="I30" s="6"/>
      <c r="J30" s="6"/>
      <c r="K30" s="6"/>
      <c r="L30" s="301">
        <v>120.8</v>
      </c>
      <c r="M30" s="301">
        <v>118.66</v>
      </c>
      <c r="N30" s="301">
        <v>182.09</v>
      </c>
      <c r="O30" s="301">
        <v>226.03</v>
      </c>
      <c r="P30" s="301">
        <v>194.29</v>
      </c>
      <c r="Q30" s="301">
        <v>290.83999999999997</v>
      </c>
      <c r="R30" s="301">
        <v>213.68</v>
      </c>
      <c r="S30" s="301">
        <v>504.27</v>
      </c>
      <c r="T30" s="301">
        <v>535.61</v>
      </c>
      <c r="U30" s="301">
        <v>709.11</v>
      </c>
      <c r="V30" s="301">
        <v>768.93</v>
      </c>
      <c r="W30" s="301">
        <v>902.59</v>
      </c>
      <c r="X30" s="301">
        <v>962.41</v>
      </c>
      <c r="Y30" s="301">
        <f t="shared" si="37"/>
        <v>561.32586486766502</v>
      </c>
      <c r="Z30" s="301"/>
      <c r="AB30" s="301">
        <v>140.28859806370974</v>
      </c>
      <c r="AC30" s="301">
        <v>210.10355709144497</v>
      </c>
      <c r="AD30" s="301">
        <v>599.31697609360742</v>
      </c>
      <c r="AE30" s="301">
        <v>561.32586486766502</v>
      </c>
      <c r="AF30" s="341">
        <v>150.76305083559836</v>
      </c>
      <c r="AG30" s="341"/>
      <c r="AH30" s="341"/>
      <c r="AI30" s="341"/>
      <c r="AK30" s="301">
        <f t="shared" si="1"/>
        <v>140.28859806370974</v>
      </c>
      <c r="AL30" s="301">
        <f t="shared" si="2"/>
        <v>69.814959027735227</v>
      </c>
      <c r="AM30" s="301">
        <f t="shared" si="3"/>
        <v>389.21341900216248</v>
      </c>
      <c r="AN30" s="301">
        <f t="shared" si="4"/>
        <v>-37.991111225942404</v>
      </c>
      <c r="AO30" s="301">
        <f t="shared" si="5"/>
        <v>150.76305083559836</v>
      </c>
      <c r="AP30" s="301"/>
      <c r="AQ30" s="301"/>
      <c r="AR30" s="301"/>
    </row>
    <row r="31" spans="1:44" ht="15" customHeight="1" x14ac:dyDescent="0.25">
      <c r="B31" t="s">
        <v>462</v>
      </c>
      <c r="L31" s="310">
        <v>37.76</v>
      </c>
      <c r="M31" s="310">
        <v>28.04</v>
      </c>
      <c r="N31" s="310">
        <v>46.04</v>
      </c>
      <c r="O31" s="310">
        <v>56.91</v>
      </c>
      <c r="P31" s="310">
        <v>16.399999999999999</v>
      </c>
      <c r="Q31" s="310">
        <v>45.35</v>
      </c>
      <c r="R31" s="310">
        <v>37.57</v>
      </c>
      <c r="S31" s="310">
        <v>48.06</v>
      </c>
      <c r="T31" s="310">
        <v>63.44</v>
      </c>
      <c r="U31" s="310">
        <v>86.44</v>
      </c>
      <c r="V31" s="310">
        <v>86.08</v>
      </c>
      <c r="W31" s="310">
        <v>93.01</v>
      </c>
      <c r="X31" s="310">
        <v>145.30000000000001</v>
      </c>
      <c r="Y31" s="310">
        <f t="shared" si="37"/>
        <v>101.8963526155989</v>
      </c>
      <c r="Z31" s="310"/>
      <c r="AB31" s="310">
        <v>23.251104276899991</v>
      </c>
      <c r="AC31" s="310">
        <v>45.283765314199456</v>
      </c>
      <c r="AD31" s="310">
        <v>40.108490572400484</v>
      </c>
      <c r="AE31" s="310">
        <v>101.8963526155989</v>
      </c>
      <c r="AF31" s="501">
        <v>36.756230400399978</v>
      </c>
      <c r="AG31" s="308"/>
      <c r="AH31" s="308"/>
      <c r="AI31" s="308"/>
      <c r="AK31" s="310">
        <f t="shared" si="1"/>
        <v>23.251104276899991</v>
      </c>
      <c r="AL31" s="310">
        <f t="shared" si="2"/>
        <v>22.032661037299466</v>
      </c>
      <c r="AM31" s="310">
        <f t="shared" si="3"/>
        <v>-5.1752747417989724</v>
      </c>
      <c r="AN31" s="310">
        <f t="shared" si="4"/>
        <v>61.787862043198416</v>
      </c>
      <c r="AO31" s="310">
        <f t="shared" si="5"/>
        <v>36.756230400399978</v>
      </c>
      <c r="AP31" s="310"/>
      <c r="AQ31" s="310"/>
      <c r="AR31" s="310"/>
    </row>
    <row r="32" spans="1:44" ht="15" customHeight="1" x14ac:dyDescent="0.25">
      <c r="B32" s="6" t="s">
        <v>463</v>
      </c>
      <c r="C32" s="6"/>
      <c r="D32" s="6"/>
      <c r="E32" s="6"/>
      <c r="F32" s="6"/>
      <c r="G32" s="6"/>
      <c r="H32" s="6"/>
      <c r="I32" s="6"/>
      <c r="J32" s="6"/>
      <c r="K32" s="6"/>
      <c r="L32" s="301">
        <v>83.04</v>
      </c>
      <c r="M32" s="301">
        <v>90.62</v>
      </c>
      <c r="N32" s="301">
        <v>136.05000000000001</v>
      </c>
      <c r="O32" s="301">
        <v>169.13</v>
      </c>
      <c r="P32" s="301">
        <v>177.89</v>
      </c>
      <c r="Q32" s="301">
        <v>245.49</v>
      </c>
      <c r="R32" s="301">
        <v>176.11</v>
      </c>
      <c r="S32" s="301">
        <v>456.21</v>
      </c>
      <c r="T32" s="301">
        <v>472.17</v>
      </c>
      <c r="U32" s="301">
        <v>622.66999999999996</v>
      </c>
      <c r="V32" s="301">
        <v>682.85</v>
      </c>
      <c r="W32" s="301">
        <v>809.58</v>
      </c>
      <c r="X32" s="301">
        <v>817.11</v>
      </c>
      <c r="Y32" s="301">
        <f t="shared" si="37"/>
        <v>459.42951225213699</v>
      </c>
      <c r="Z32" s="301"/>
      <c r="AB32" s="301">
        <v>117.03749378681033</v>
      </c>
      <c r="AC32" s="301">
        <v>164.81979177706734</v>
      </c>
      <c r="AD32" s="301">
        <v>559.20848552117536</v>
      </c>
      <c r="AE32" s="301">
        <v>459.42951225213699</v>
      </c>
      <c r="AF32" s="341">
        <v>114.00682043519831</v>
      </c>
      <c r="AG32" s="341"/>
      <c r="AH32" s="341"/>
      <c r="AI32" s="341"/>
      <c r="AK32" s="301">
        <f t="shared" si="1"/>
        <v>117.03749378681033</v>
      </c>
      <c r="AL32" s="301">
        <f t="shared" si="2"/>
        <v>47.782297990257007</v>
      </c>
      <c r="AM32" s="301">
        <f t="shared" si="3"/>
        <v>394.38869374410802</v>
      </c>
      <c r="AN32" s="301">
        <f t="shared" si="4"/>
        <v>-99.778973269038374</v>
      </c>
      <c r="AO32" s="301">
        <f t="shared" si="5"/>
        <v>114.00682043519831</v>
      </c>
      <c r="AP32" s="301"/>
      <c r="AQ32" s="301"/>
      <c r="AR32" s="301"/>
    </row>
    <row r="33" spans="2:44" ht="15" customHeight="1" x14ac:dyDescent="0.25">
      <c r="B33" s="68" t="s">
        <v>464</v>
      </c>
      <c r="C33" s="68"/>
      <c r="D33" s="68"/>
      <c r="E33" s="68"/>
      <c r="F33" s="68"/>
      <c r="G33" s="68"/>
      <c r="H33" s="68"/>
      <c r="I33" s="68"/>
      <c r="J33" s="68"/>
      <c r="K33" s="68"/>
      <c r="L33" s="312">
        <v>80.2</v>
      </c>
      <c r="M33" s="312">
        <v>88.6</v>
      </c>
      <c r="N33" s="312">
        <v>126.27</v>
      </c>
      <c r="O33" s="312">
        <v>135.12</v>
      </c>
      <c r="P33" s="312">
        <v>126.01</v>
      </c>
      <c r="Q33" s="312">
        <v>166.61</v>
      </c>
      <c r="R33" s="312">
        <v>56.33</v>
      </c>
      <c r="S33" s="312">
        <v>275.89999999999998</v>
      </c>
      <c r="T33" s="312">
        <v>313.36</v>
      </c>
      <c r="U33" s="312">
        <v>475.13</v>
      </c>
      <c r="V33" s="312">
        <v>555.67999999999995</v>
      </c>
      <c r="W33" s="312">
        <v>655.44</v>
      </c>
      <c r="X33" s="312">
        <v>616.23</v>
      </c>
      <c r="Y33" s="312">
        <f t="shared" si="37"/>
        <v>309.00902557023619</v>
      </c>
      <c r="Z33" s="313"/>
      <c r="AB33" s="312">
        <v>65.308916144810325</v>
      </c>
      <c r="AC33" s="312">
        <v>79.827186645467279</v>
      </c>
      <c r="AD33" s="312">
        <v>444.79432537007585</v>
      </c>
      <c r="AE33" s="312">
        <v>309.00902557023619</v>
      </c>
      <c r="AF33" s="508">
        <v>68.05646306539829</v>
      </c>
      <c r="AG33" s="348"/>
      <c r="AH33" s="348"/>
      <c r="AI33" s="348"/>
      <c r="AK33" s="312">
        <f t="shared" si="1"/>
        <v>65.308916144810325</v>
      </c>
      <c r="AL33" s="312">
        <f t="shared" si="2"/>
        <v>14.518270500656953</v>
      </c>
      <c r="AM33" s="312">
        <f t="shared" si="3"/>
        <v>364.96713872460856</v>
      </c>
      <c r="AN33" s="312">
        <f t="shared" si="4"/>
        <v>-135.78529979983966</v>
      </c>
      <c r="AO33" s="312">
        <f t="shared" si="5"/>
        <v>68.05646306539829</v>
      </c>
      <c r="AP33" s="313"/>
      <c r="AQ33" s="313"/>
      <c r="AR33" s="313"/>
    </row>
    <row r="34" spans="2:44" ht="15" customHeight="1" x14ac:dyDescent="0.25">
      <c r="B34" t="s">
        <v>465</v>
      </c>
      <c r="L34" s="310">
        <v>2.84</v>
      </c>
      <c r="M34" s="310">
        <v>2.02</v>
      </c>
      <c r="N34" s="310">
        <v>9.7799999999999994</v>
      </c>
      <c r="O34" s="310">
        <v>34.01</v>
      </c>
      <c r="P34" s="310">
        <v>51.88</v>
      </c>
      <c r="Q34" s="310">
        <v>78.88</v>
      </c>
      <c r="R34" s="310">
        <v>119.78</v>
      </c>
      <c r="S34" s="310">
        <v>180.31</v>
      </c>
      <c r="T34" s="310">
        <v>158.80000000000001</v>
      </c>
      <c r="U34" s="310">
        <v>147.54</v>
      </c>
      <c r="V34" s="310">
        <v>127.17</v>
      </c>
      <c r="W34" s="310">
        <v>154.13999999999999</v>
      </c>
      <c r="X34" s="310">
        <v>200.87</v>
      </c>
      <c r="Y34" s="310">
        <f t="shared" si="37"/>
        <v>150.4204866819008</v>
      </c>
      <c r="Z34" s="310"/>
      <c r="AB34" s="310">
        <v>51.728577642000005</v>
      </c>
      <c r="AC34" s="310">
        <v>84.992605131600072</v>
      </c>
      <c r="AD34" s="310">
        <v>114.41416015109949</v>
      </c>
      <c r="AE34" s="310">
        <v>150.4204866819008</v>
      </c>
      <c r="AF34" s="501">
        <v>45.950357369800024</v>
      </c>
      <c r="AG34" s="308"/>
      <c r="AH34" s="308"/>
      <c r="AI34" s="308"/>
      <c r="AK34" s="310">
        <f t="shared" si="1"/>
        <v>51.728577642000005</v>
      </c>
      <c r="AL34" s="310">
        <f t="shared" si="2"/>
        <v>33.264027489600068</v>
      </c>
      <c r="AM34" s="310">
        <f t="shared" si="3"/>
        <v>29.421555019499422</v>
      </c>
      <c r="AN34" s="310">
        <f t="shared" si="4"/>
        <v>36.006326530801303</v>
      </c>
      <c r="AO34" s="310">
        <f t="shared" si="5"/>
        <v>45.950357369800024</v>
      </c>
      <c r="AP34" s="310"/>
      <c r="AQ34" s="310"/>
      <c r="AR34" s="310"/>
    </row>
    <row r="35" spans="2:44" ht="15" customHeight="1" x14ac:dyDescent="0.25">
      <c r="L35" s="310"/>
      <c r="M35" s="310"/>
      <c r="N35" s="310"/>
      <c r="O35" s="310"/>
      <c r="P35" s="310"/>
      <c r="Q35" s="310"/>
      <c r="R35" s="310"/>
      <c r="S35" s="310"/>
      <c r="T35" s="310"/>
      <c r="U35" s="310"/>
      <c r="V35" s="310"/>
      <c r="X35" s="310"/>
      <c r="AB35" s="310"/>
      <c r="AC35" s="310"/>
      <c r="AD35" s="310"/>
      <c r="AE35" s="310"/>
      <c r="AK35" s="310"/>
      <c r="AL35" s="310"/>
      <c r="AM35" s="310"/>
      <c r="AN35" s="310"/>
      <c r="AO35" s="310"/>
      <c r="AP35" s="310"/>
      <c r="AQ35" s="310"/>
      <c r="AR35" s="310"/>
    </row>
    <row r="36" spans="2:44" ht="15" customHeight="1" x14ac:dyDescent="0.25">
      <c r="B36" s="169" t="s">
        <v>43</v>
      </c>
      <c r="C36" s="169"/>
      <c r="D36" s="169"/>
      <c r="E36" s="169"/>
      <c r="F36" s="169"/>
      <c r="G36" s="169"/>
      <c r="H36" s="169"/>
      <c r="I36" s="169"/>
      <c r="J36" s="169"/>
      <c r="K36" s="169"/>
      <c r="L36" s="228">
        <v>2010</v>
      </c>
      <c r="M36" s="228">
        <v>2011</v>
      </c>
      <c r="N36" s="228">
        <v>2012</v>
      </c>
      <c r="O36" s="228">
        <v>2013</v>
      </c>
      <c r="P36" s="228">
        <v>2014</v>
      </c>
      <c r="Q36" s="228">
        <v>2015</v>
      </c>
      <c r="R36" s="228">
        <v>2016</v>
      </c>
      <c r="S36" s="228">
        <v>2017</v>
      </c>
      <c r="T36" s="228">
        <v>2018</v>
      </c>
      <c r="U36" s="228">
        <v>2019</v>
      </c>
      <c r="V36" s="228">
        <v>2020</v>
      </c>
      <c r="W36" s="228">
        <v>2021</v>
      </c>
      <c r="X36" s="231">
        <v>2022</v>
      </c>
      <c r="Y36" s="229">
        <v>2023</v>
      </c>
      <c r="Z36" s="230">
        <v>2024</v>
      </c>
      <c r="AB36" s="231" t="s">
        <v>291</v>
      </c>
      <c r="AC36" s="231" t="s">
        <v>292</v>
      </c>
      <c r="AD36" s="231" t="s">
        <v>293</v>
      </c>
      <c r="AE36" s="231">
        <v>2023</v>
      </c>
      <c r="AF36" s="232" t="s">
        <v>318</v>
      </c>
      <c r="AG36" s="232" t="s">
        <v>319</v>
      </c>
      <c r="AH36" s="232" t="s">
        <v>320</v>
      </c>
      <c r="AI36" s="232">
        <v>2024</v>
      </c>
      <c r="AK36" s="231" t="s">
        <v>291</v>
      </c>
      <c r="AL36" s="231" t="s">
        <v>296</v>
      </c>
      <c r="AM36" s="231" t="s">
        <v>294</v>
      </c>
      <c r="AN36" s="231" t="s">
        <v>295</v>
      </c>
      <c r="AO36" s="232" t="s">
        <v>318</v>
      </c>
      <c r="AP36" s="232" t="s">
        <v>321</v>
      </c>
      <c r="AQ36" s="232" t="s">
        <v>322</v>
      </c>
      <c r="AR36" s="232" t="s">
        <v>323</v>
      </c>
    </row>
    <row r="37" spans="2:44" ht="15" customHeight="1" x14ac:dyDescent="0.25">
      <c r="B37" s="6" t="s">
        <v>41</v>
      </c>
      <c r="C37" s="6"/>
      <c r="D37" s="6"/>
      <c r="E37" s="6"/>
      <c r="F37" s="6"/>
      <c r="G37" s="6"/>
      <c r="H37" s="6"/>
      <c r="I37" s="6"/>
      <c r="J37" s="6"/>
      <c r="K37" s="6"/>
      <c r="L37" s="301">
        <v>539.09</v>
      </c>
      <c r="M37" s="301">
        <v>367.75</v>
      </c>
      <c r="N37" s="301">
        <v>423.33</v>
      </c>
      <c r="O37" s="301">
        <v>387.05</v>
      </c>
      <c r="P37" s="301">
        <v>163.78</v>
      </c>
      <c r="Q37" s="301">
        <v>183.74</v>
      </c>
      <c r="R37" s="301">
        <v>131.59</v>
      </c>
      <c r="S37" s="301">
        <v>150</v>
      </c>
      <c r="T37" s="301">
        <v>388.89632605156572</v>
      </c>
      <c r="U37" s="301">
        <v>306.58165069731649</v>
      </c>
      <c r="V37" s="301">
        <v>709.20893135000006</v>
      </c>
      <c r="W37" s="301">
        <v>752.74092096499999</v>
      </c>
      <c r="X37" s="301">
        <v>755.04546610699208</v>
      </c>
      <c r="Y37" s="301">
        <f>AE37</f>
        <v>905.38537747652538</v>
      </c>
      <c r="Z37" s="301"/>
      <c r="AA37" s="253"/>
      <c r="AB37" s="301">
        <v>179.83313179512896</v>
      </c>
      <c r="AC37" s="301">
        <v>515.37606234801399</v>
      </c>
      <c r="AD37" s="301">
        <v>735.24390107876809</v>
      </c>
      <c r="AE37" s="301">
        <v>905.38537747652538</v>
      </c>
      <c r="AF37" s="301">
        <v>113.96126993206801</v>
      </c>
      <c r="AG37" s="301"/>
      <c r="AH37" s="301"/>
      <c r="AI37" s="301"/>
      <c r="AK37" s="301">
        <f>AB37</f>
        <v>179.83313179512896</v>
      </c>
      <c r="AL37" s="301">
        <f t="shared" ref="AL37:AN40" si="54">AC37-AB37</f>
        <v>335.54293055288503</v>
      </c>
      <c r="AM37" s="301">
        <f t="shared" si="54"/>
        <v>219.8678387307541</v>
      </c>
      <c r="AN37" s="301">
        <f t="shared" si="54"/>
        <v>170.14147639775729</v>
      </c>
      <c r="AO37" s="301">
        <f>AF37</f>
        <v>113.96126993206801</v>
      </c>
      <c r="AP37" s="301"/>
      <c r="AQ37" s="301"/>
      <c r="AR37" s="301"/>
    </row>
    <row r="38" spans="2:44" ht="15" customHeight="1" x14ac:dyDescent="0.25">
      <c r="B38" s="6" t="s">
        <v>3</v>
      </c>
      <c r="C38" s="6"/>
      <c r="D38" s="6"/>
      <c r="E38" s="6"/>
      <c r="F38" s="6"/>
      <c r="G38" s="6"/>
      <c r="H38" s="6"/>
      <c r="I38" s="6"/>
      <c r="J38" s="6"/>
      <c r="K38" s="6"/>
      <c r="L38" s="301">
        <v>783.23</v>
      </c>
      <c r="M38" s="301">
        <v>405.11</v>
      </c>
      <c r="N38" s="301">
        <v>178.69</v>
      </c>
      <c r="O38" s="301">
        <v>212.38</v>
      </c>
      <c r="P38" s="301">
        <v>543.02</v>
      </c>
      <c r="Q38" s="301">
        <v>645.99</v>
      </c>
      <c r="R38" s="301">
        <v>840.93</v>
      </c>
      <c r="S38" s="301">
        <v>707.87</v>
      </c>
      <c r="T38" s="301">
        <v>756.79953383019597</v>
      </c>
      <c r="U38" s="301">
        <v>783.87660310518436</v>
      </c>
      <c r="V38" s="301">
        <v>1188.714066</v>
      </c>
      <c r="W38" s="301">
        <v>1388.2245055930002</v>
      </c>
      <c r="X38" s="301">
        <v>1857.5706341567093</v>
      </c>
      <c r="Y38" s="301">
        <f>AE38</f>
        <v>2679.6205954687198</v>
      </c>
      <c r="Z38" s="301"/>
      <c r="AB38" s="301">
        <v>579.05530612073198</v>
      </c>
      <c r="AC38" s="301">
        <v>1284.4272411804168</v>
      </c>
      <c r="AD38" s="301">
        <v>1876.779263708587</v>
      </c>
      <c r="AE38" s="301">
        <v>2679.6205954687198</v>
      </c>
      <c r="AF38" s="301">
        <v>601.31701866467085</v>
      </c>
      <c r="AG38" s="301"/>
      <c r="AH38" s="301"/>
      <c r="AI38" s="301"/>
      <c r="AK38" s="301">
        <f>AB38</f>
        <v>579.05530612073198</v>
      </c>
      <c r="AL38" s="301">
        <f t="shared" si="54"/>
        <v>705.3719350596848</v>
      </c>
      <c r="AM38" s="301">
        <f t="shared" si="54"/>
        <v>592.35202252817021</v>
      </c>
      <c r="AN38" s="301">
        <f t="shared" si="54"/>
        <v>802.84133176013279</v>
      </c>
      <c r="AO38" s="301">
        <f>AF38</f>
        <v>601.31701866467085</v>
      </c>
      <c r="AP38" s="301"/>
      <c r="AQ38" s="301"/>
      <c r="AR38" s="301"/>
    </row>
    <row r="39" spans="2:44" ht="15" customHeight="1" x14ac:dyDescent="0.25">
      <c r="B39" s="6" t="s">
        <v>271</v>
      </c>
      <c r="C39" s="6"/>
      <c r="D39" s="6"/>
      <c r="E39" s="6"/>
      <c r="F39" s="6"/>
      <c r="G39" s="6"/>
      <c r="H39" s="6"/>
      <c r="I39" s="6"/>
      <c r="J39" s="6"/>
      <c r="K39" s="6"/>
      <c r="L39" s="301">
        <v>78.69</v>
      </c>
      <c r="M39" s="301">
        <v>56.59</v>
      </c>
      <c r="N39" s="301">
        <v>9.77</v>
      </c>
      <c r="O39" s="301">
        <v>27.409999999999997</v>
      </c>
      <c r="P39" s="301">
        <v>25.560000000000002</v>
      </c>
      <c r="Q39" s="301">
        <v>72.930000000000007</v>
      </c>
      <c r="R39" s="301">
        <v>56.839999999999996</v>
      </c>
      <c r="S39" s="301">
        <v>193.23</v>
      </c>
      <c r="T39" s="301">
        <v>163.92587515224599</v>
      </c>
      <c r="U39" s="301">
        <v>30.706970114553883</v>
      </c>
      <c r="V39" s="301">
        <v>203.39555000000007</v>
      </c>
      <c r="W39" s="301">
        <v>390.07536265099998</v>
      </c>
      <c r="X39" s="301">
        <v>844.51709541669561</v>
      </c>
      <c r="Y39" s="301">
        <f>AE39</f>
        <v>868.44404364657476</v>
      </c>
      <c r="Z39" s="301"/>
      <c r="AA39" s="251"/>
      <c r="AB39" s="301">
        <v>159.53904284199984</v>
      </c>
      <c r="AC39" s="301">
        <v>321.08763384068197</v>
      </c>
      <c r="AD39" s="301">
        <v>541.82053281068556</v>
      </c>
      <c r="AE39" s="301">
        <v>868.44404364657476</v>
      </c>
      <c r="AF39" s="301">
        <v>128.5979669056328</v>
      </c>
      <c r="AG39" s="301"/>
      <c r="AH39" s="301"/>
      <c r="AI39" s="301"/>
      <c r="AK39" s="301">
        <f>AB39</f>
        <v>159.53904284199984</v>
      </c>
      <c r="AL39" s="301">
        <f t="shared" si="54"/>
        <v>161.54859099868213</v>
      </c>
      <c r="AM39" s="301">
        <f t="shared" si="54"/>
        <v>220.73289897000359</v>
      </c>
      <c r="AN39" s="301">
        <f t="shared" si="54"/>
        <v>326.62351083588919</v>
      </c>
      <c r="AO39" s="301">
        <f>AF39</f>
        <v>128.5979669056328</v>
      </c>
      <c r="AP39" s="301"/>
      <c r="AQ39" s="301"/>
      <c r="AR39" s="301"/>
    </row>
    <row r="40" spans="2:44" ht="15" customHeight="1" x14ac:dyDescent="0.25">
      <c r="B40" s="68" t="s">
        <v>335</v>
      </c>
      <c r="C40" s="68"/>
      <c r="D40" s="68"/>
      <c r="E40" s="68"/>
      <c r="F40" s="68"/>
      <c r="G40" s="68"/>
      <c r="H40" s="68"/>
      <c r="I40" s="68"/>
      <c r="J40" s="68"/>
      <c r="K40" s="68"/>
      <c r="L40" s="312">
        <v>1401.01</v>
      </c>
      <c r="M40" s="312">
        <v>829.45</v>
      </c>
      <c r="N40" s="312">
        <v>611.79</v>
      </c>
      <c r="O40" s="312">
        <v>626.84</v>
      </c>
      <c r="P40" s="312">
        <v>732.36</v>
      </c>
      <c r="Q40" s="312">
        <v>902.65</v>
      </c>
      <c r="R40" s="312">
        <v>1029.3599999999999</v>
      </c>
      <c r="S40" s="312">
        <v>1051.0999999999999</v>
      </c>
      <c r="T40" s="312">
        <v>1309.6217350340075</v>
      </c>
      <c r="U40" s="312">
        <v>1121.1652239170546</v>
      </c>
      <c r="V40" s="312">
        <v>2101.3185473500002</v>
      </c>
      <c r="W40" s="312">
        <v>2531.0407892090002</v>
      </c>
      <c r="X40" s="312">
        <v>3457.133195680397</v>
      </c>
      <c r="Y40" s="312">
        <f>AE40</f>
        <v>4453.4500165918198</v>
      </c>
      <c r="Z40" s="313"/>
      <c r="AB40" s="312">
        <v>918.42748075786085</v>
      </c>
      <c r="AC40" s="312">
        <v>2120.8909373691126</v>
      </c>
      <c r="AD40" s="312">
        <v>3153.8436975980408</v>
      </c>
      <c r="AE40" s="312">
        <v>4453.4500165918198</v>
      </c>
      <c r="AF40" s="508">
        <v>843.87625550237169</v>
      </c>
      <c r="AG40" s="348"/>
      <c r="AH40" s="348"/>
      <c r="AI40" s="348"/>
      <c r="AK40" s="312">
        <f>AB40</f>
        <v>918.42748075786085</v>
      </c>
      <c r="AL40" s="312">
        <f t="shared" si="54"/>
        <v>1202.4634566112518</v>
      </c>
      <c r="AM40" s="312">
        <f t="shared" si="54"/>
        <v>1032.9527602289281</v>
      </c>
      <c r="AN40" s="312">
        <f t="shared" si="54"/>
        <v>1299.606318993779</v>
      </c>
      <c r="AO40" s="312">
        <f>AF40</f>
        <v>843.87625550237169</v>
      </c>
      <c r="AP40" s="313"/>
      <c r="AQ40" s="313"/>
      <c r="AR40" s="313"/>
    </row>
    <row r="41" spans="2:44" ht="15" customHeight="1" x14ac:dyDescent="0.25">
      <c r="T41" s="253"/>
      <c r="U41" s="253"/>
    </row>
    <row r="42" spans="2:44" ht="15" customHeight="1" x14ac:dyDescent="0.25">
      <c r="B42" s="169" t="s">
        <v>44</v>
      </c>
      <c r="C42" s="169"/>
      <c r="D42" s="169"/>
      <c r="E42" s="169"/>
      <c r="F42" s="169"/>
      <c r="G42" s="169"/>
      <c r="H42" s="169"/>
      <c r="I42" s="169"/>
      <c r="J42" s="169"/>
      <c r="K42" s="169"/>
      <c r="L42" s="228">
        <v>2010</v>
      </c>
      <c r="M42" s="228">
        <v>2011</v>
      </c>
      <c r="N42" s="228">
        <v>2012</v>
      </c>
      <c r="O42" s="228">
        <v>2013</v>
      </c>
      <c r="P42" s="228">
        <v>2014</v>
      </c>
      <c r="Q42" s="228">
        <v>2015</v>
      </c>
      <c r="R42" s="228">
        <v>2016</v>
      </c>
      <c r="S42" s="228">
        <v>2017</v>
      </c>
      <c r="T42" s="228">
        <v>2018</v>
      </c>
      <c r="U42" s="228">
        <v>2019</v>
      </c>
      <c r="V42" s="228">
        <v>2020</v>
      </c>
      <c r="W42" s="228">
        <v>2021</v>
      </c>
      <c r="X42" s="231">
        <v>2022</v>
      </c>
      <c r="Y42" s="229">
        <v>2023</v>
      </c>
      <c r="Z42" s="230">
        <v>2024</v>
      </c>
      <c r="AB42" s="231" t="s">
        <v>291</v>
      </c>
      <c r="AC42" s="231" t="s">
        <v>292</v>
      </c>
      <c r="AD42" s="231" t="s">
        <v>293</v>
      </c>
      <c r="AE42" s="231">
        <v>2023</v>
      </c>
      <c r="AF42" s="232" t="s">
        <v>318</v>
      </c>
      <c r="AG42" s="232" t="s">
        <v>319</v>
      </c>
      <c r="AH42" s="232" t="s">
        <v>320</v>
      </c>
      <c r="AI42" s="232">
        <v>2024</v>
      </c>
      <c r="AK42" s="231" t="s">
        <v>291</v>
      </c>
      <c r="AL42" s="231" t="s">
        <v>296</v>
      </c>
      <c r="AM42" s="231" t="s">
        <v>294</v>
      </c>
      <c r="AN42" s="231" t="s">
        <v>295</v>
      </c>
      <c r="AO42" s="232" t="s">
        <v>318</v>
      </c>
      <c r="AP42" s="232" t="s">
        <v>321</v>
      </c>
      <c r="AQ42" s="232" t="s">
        <v>322</v>
      </c>
      <c r="AR42" s="232" t="s">
        <v>323</v>
      </c>
    </row>
    <row r="43" spans="2:44" ht="15" customHeight="1" x14ac:dyDescent="0.25">
      <c r="B43" s="152" t="s">
        <v>45</v>
      </c>
      <c r="C43" s="152"/>
      <c r="D43" s="152"/>
      <c r="E43" s="152"/>
      <c r="F43" s="152"/>
      <c r="G43" s="152"/>
      <c r="H43" s="152"/>
      <c r="I43" s="152"/>
      <c r="J43" s="152"/>
      <c r="K43" s="152"/>
      <c r="L43" s="312">
        <f t="shared" ref="L43:V43" si="55">L45+L77</f>
        <v>6676.35</v>
      </c>
      <c r="M43" s="312">
        <f t="shared" si="55"/>
        <v>7482.7800000000007</v>
      </c>
      <c r="N43" s="312">
        <f t="shared" si="55"/>
        <v>7986.6200000000008</v>
      </c>
      <c r="O43" s="312">
        <f t="shared" si="55"/>
        <v>8564.7800000000007</v>
      </c>
      <c r="P43" s="312">
        <f t="shared" si="55"/>
        <v>9035.7400000000016</v>
      </c>
      <c r="Q43" s="312">
        <f t="shared" si="55"/>
        <v>9637.2599999999984</v>
      </c>
      <c r="R43" s="312">
        <f t="shared" si="55"/>
        <v>10407.609999999999</v>
      </c>
      <c r="S43" s="312">
        <f t="shared" si="55"/>
        <v>11007.160000000002</v>
      </c>
      <c r="T43" s="312">
        <f t="shared" si="55"/>
        <v>11672.260000000002</v>
      </c>
      <c r="U43" s="312">
        <f t="shared" si="55"/>
        <v>11362.100000000002</v>
      </c>
      <c r="V43" s="312">
        <f t="shared" si="55"/>
        <v>12168.480000000001</v>
      </c>
      <c r="W43" s="312">
        <f>W45+W77</f>
        <v>13758.590000000002</v>
      </c>
      <c r="X43" s="312">
        <f t="shared" ref="X43" si="56">X45+X77</f>
        <v>14917.109999999999</v>
      </c>
      <c r="Y43" s="312">
        <f>AE43</f>
        <v>16555.092368819998</v>
      </c>
      <c r="Z43" s="313"/>
      <c r="AB43" s="312">
        <f t="shared" ref="AB43:AC43" si="57">AB45+AB77</f>
        <v>14967.347964131699</v>
      </c>
      <c r="AC43" s="312">
        <f t="shared" si="57"/>
        <v>15167.158085079998</v>
      </c>
      <c r="AD43" s="312">
        <f t="shared" ref="AD43" si="58">AD45+AD77</f>
        <v>15146.363644609999</v>
      </c>
      <c r="AE43" s="312">
        <f>AE45+AE77</f>
        <v>16555.092368819998</v>
      </c>
      <c r="AF43" s="312">
        <f>AF45+AF77</f>
        <v>16498.117699999999</v>
      </c>
      <c r="AG43" s="313"/>
      <c r="AH43" s="313"/>
      <c r="AI43" s="313"/>
      <c r="AK43" s="313"/>
      <c r="AL43" s="313"/>
      <c r="AM43" s="313"/>
      <c r="AN43" s="313"/>
      <c r="AO43" s="313"/>
      <c r="AP43" s="313"/>
      <c r="AQ43" s="313"/>
      <c r="AR43" s="313"/>
    </row>
    <row r="44" spans="2:44" ht="15" customHeight="1" x14ac:dyDescent="0.25">
      <c r="B44" s="41"/>
      <c r="C44" s="41"/>
      <c r="D44" s="41"/>
      <c r="E44" s="41"/>
      <c r="F44" s="41"/>
      <c r="G44" s="41"/>
      <c r="H44" s="41"/>
      <c r="I44" s="41"/>
      <c r="J44" s="41"/>
      <c r="K44" s="41"/>
      <c r="L44" s="425"/>
      <c r="M44" s="253"/>
      <c r="N44" s="253"/>
      <c r="O44" s="253"/>
      <c r="P44" s="253"/>
      <c r="Q44" s="253"/>
      <c r="R44" s="253"/>
      <c r="S44" s="253"/>
      <c r="T44" s="253"/>
      <c r="U44" s="253"/>
      <c r="V44" s="253"/>
      <c r="W44" s="253"/>
      <c r="X44" s="253"/>
      <c r="Y44" s="253"/>
      <c r="Z44" s="253"/>
      <c r="AB44" s="253"/>
      <c r="AC44" s="253"/>
      <c r="AD44" s="253"/>
      <c r="AE44" s="253"/>
      <c r="AF44" s="253"/>
      <c r="AK44" s="314"/>
      <c r="AL44" s="314"/>
      <c r="AM44" s="314"/>
      <c r="AN44" s="314"/>
      <c r="AO44" s="314"/>
      <c r="AP44" s="314"/>
      <c r="AQ44" s="314"/>
      <c r="AR44" s="314"/>
    </row>
    <row r="45" spans="2:44" ht="15" customHeight="1" x14ac:dyDescent="0.25">
      <c r="B45" s="68" t="s">
        <v>49</v>
      </c>
      <c r="C45" s="68"/>
      <c r="D45" s="68"/>
      <c r="E45" s="68"/>
      <c r="F45" s="68"/>
      <c r="G45" s="68"/>
      <c r="H45" s="68"/>
      <c r="I45" s="68"/>
      <c r="J45" s="68"/>
      <c r="K45" s="68"/>
      <c r="L45" s="312">
        <f t="shared" ref="L45:U45" si="59">L47+L61</f>
        <v>6437.35</v>
      </c>
      <c r="M45" s="312">
        <f t="shared" si="59"/>
        <v>7157.18</v>
      </c>
      <c r="N45" s="312">
        <f t="shared" si="59"/>
        <v>7597.02</v>
      </c>
      <c r="O45" s="312">
        <f t="shared" si="59"/>
        <v>7756.42</v>
      </c>
      <c r="P45" s="312">
        <f t="shared" si="59"/>
        <v>8149.4600000000009</v>
      </c>
      <c r="Q45" s="312">
        <f t="shared" si="59"/>
        <v>9281.3099999999977</v>
      </c>
      <c r="R45" s="312">
        <f t="shared" si="59"/>
        <v>10051.659999999998</v>
      </c>
      <c r="S45" s="312">
        <f t="shared" si="59"/>
        <v>10675.960000000001</v>
      </c>
      <c r="T45" s="312">
        <f t="shared" si="59"/>
        <v>11301.070000000002</v>
      </c>
      <c r="U45" s="312">
        <f t="shared" si="59"/>
        <v>10812.060000000001</v>
      </c>
      <c r="V45" s="312">
        <f>V47+V61</f>
        <v>11499.930000000002</v>
      </c>
      <c r="W45" s="312">
        <f>W47+W61</f>
        <v>12489.990000000002</v>
      </c>
      <c r="X45" s="312">
        <f t="shared" ref="X45" si="60">X47+X61</f>
        <v>13633.55</v>
      </c>
      <c r="Y45" s="312">
        <f>AE45</f>
        <v>15485.276993489999</v>
      </c>
      <c r="Z45" s="313"/>
      <c r="AB45" s="312">
        <f t="shared" ref="AB45:AC45" si="61">AB47+AB61</f>
        <v>13683.77780561</v>
      </c>
      <c r="AC45" s="312">
        <f t="shared" si="61"/>
        <v>14097.342709749999</v>
      </c>
      <c r="AD45" s="312">
        <f t="shared" ref="AD45" si="62">AD47+AD61</f>
        <v>14076.54826928</v>
      </c>
      <c r="AE45" s="312">
        <f>AE47+AE61</f>
        <v>15485.276993489999</v>
      </c>
      <c r="AF45" s="312">
        <f>AF47+AF61</f>
        <v>15300.9023</v>
      </c>
      <c r="AG45" s="313"/>
      <c r="AH45" s="313"/>
      <c r="AI45" s="313"/>
      <c r="AK45" s="313"/>
      <c r="AL45" s="313"/>
      <c r="AM45" s="313"/>
      <c r="AN45" s="313"/>
      <c r="AO45" s="313"/>
      <c r="AP45" s="313"/>
      <c r="AQ45" s="313"/>
      <c r="AR45" s="313"/>
    </row>
    <row r="46" spans="2:44" ht="15" customHeight="1" x14ac:dyDescent="0.25">
      <c r="B46" s="107"/>
      <c r="C46" s="107"/>
      <c r="D46" s="107"/>
      <c r="E46" s="107"/>
      <c r="F46" s="107"/>
      <c r="G46" s="107"/>
      <c r="H46" s="107"/>
      <c r="I46" s="107"/>
      <c r="J46" s="107"/>
      <c r="K46" s="107"/>
      <c r="L46" s="301"/>
      <c r="M46" s="301"/>
      <c r="N46" s="301"/>
      <c r="O46" s="301"/>
      <c r="P46" s="301"/>
      <c r="Q46" s="301"/>
      <c r="R46" s="301"/>
      <c r="S46" s="301"/>
      <c r="T46" s="301"/>
      <c r="U46" s="301"/>
      <c r="V46" s="301"/>
      <c r="W46" s="301"/>
      <c r="X46" s="301"/>
      <c r="Y46" s="301"/>
      <c r="Z46" s="301"/>
      <c r="AB46" s="301"/>
      <c r="AC46" s="301"/>
      <c r="AD46" s="301"/>
      <c r="AE46" s="301"/>
      <c r="AF46" s="301"/>
      <c r="AK46" s="313"/>
      <c r="AL46" s="313"/>
      <c r="AM46" s="313"/>
      <c r="AN46" s="313"/>
      <c r="AO46" s="313"/>
      <c r="AP46" s="313"/>
      <c r="AQ46" s="313"/>
      <c r="AR46" s="313"/>
    </row>
    <row r="47" spans="2:44" ht="15" customHeight="1" x14ac:dyDescent="0.25">
      <c r="B47" s="6" t="s">
        <v>46</v>
      </c>
      <c r="C47" s="6"/>
      <c r="D47" s="6"/>
      <c r="E47" s="6"/>
      <c r="F47" s="6"/>
      <c r="G47" s="6"/>
      <c r="H47" s="6"/>
      <c r="I47" s="6"/>
      <c r="J47" s="6"/>
      <c r="K47" s="6"/>
      <c r="L47" s="301">
        <f t="shared" ref="L47:U47" si="63">L48+L52+L56</f>
        <v>6437.35</v>
      </c>
      <c r="M47" s="301">
        <f t="shared" si="63"/>
        <v>7157.18</v>
      </c>
      <c r="N47" s="301">
        <f t="shared" si="63"/>
        <v>7558.2400000000007</v>
      </c>
      <c r="O47" s="301">
        <f t="shared" si="63"/>
        <v>7706.04</v>
      </c>
      <c r="P47" s="301">
        <f t="shared" si="63"/>
        <v>8067.0800000000008</v>
      </c>
      <c r="Q47" s="301">
        <f t="shared" si="63"/>
        <v>9198.9299999999985</v>
      </c>
      <c r="R47" s="301">
        <f t="shared" si="63"/>
        <v>9969.2799999999988</v>
      </c>
      <c r="S47" s="301">
        <f t="shared" si="63"/>
        <v>10530.77</v>
      </c>
      <c r="T47" s="301">
        <f t="shared" si="63"/>
        <v>11155.880000000001</v>
      </c>
      <c r="U47" s="301">
        <f t="shared" si="63"/>
        <v>10666.87</v>
      </c>
      <c r="V47" s="301">
        <f>V48+V52+V56</f>
        <v>11154.740000000002</v>
      </c>
      <c r="W47" s="301">
        <f>W48+W52+W56</f>
        <v>11845.150000000001</v>
      </c>
      <c r="X47" s="301">
        <f t="shared" ref="X47" si="64">X48+X52+X56</f>
        <v>12136.019999999999</v>
      </c>
      <c r="Y47" s="301">
        <f t="shared" ref="Y47:Y57" si="65">AE47</f>
        <v>12432.236999999999</v>
      </c>
      <c r="Z47" s="301"/>
      <c r="AB47" s="301">
        <f t="shared" ref="AB47" si="66">AB48+AB52+AB56</f>
        <v>12161.576999999999</v>
      </c>
      <c r="AC47" s="301">
        <f>AC48+AC52+AC56</f>
        <v>12279.757</v>
      </c>
      <c r="AD47" s="301">
        <f>AD48+AD52+AD56</f>
        <v>11878.666999999999</v>
      </c>
      <c r="AE47" s="301">
        <f>AE48+AE52+AE56</f>
        <v>12432.236999999999</v>
      </c>
      <c r="AF47" s="301">
        <f>AF48+AF52+AF56</f>
        <v>12134.437</v>
      </c>
      <c r="AG47" s="301"/>
      <c r="AH47" s="301"/>
      <c r="AI47" s="301"/>
      <c r="AK47" s="313"/>
      <c r="AL47" s="313"/>
      <c r="AM47" s="313"/>
      <c r="AN47" s="313"/>
      <c r="AO47" s="313"/>
      <c r="AP47" s="313"/>
      <c r="AQ47" s="313"/>
      <c r="AR47" s="313"/>
    </row>
    <row r="48" spans="2:44" ht="15" customHeight="1" x14ac:dyDescent="0.25">
      <c r="B48" s="142" t="s">
        <v>41</v>
      </c>
      <c r="C48" s="142"/>
      <c r="D48" s="142"/>
      <c r="E48" s="142"/>
      <c r="F48" s="142"/>
      <c r="G48" s="142"/>
      <c r="H48" s="142"/>
      <c r="I48" s="142"/>
      <c r="J48" s="142"/>
      <c r="K48" s="142"/>
      <c r="L48" s="301">
        <f>L49+L50+L51</f>
        <v>3200.03</v>
      </c>
      <c r="M48" s="301">
        <f t="shared" ref="M48:U48" si="67">M49+M50+M51</f>
        <v>3651.86</v>
      </c>
      <c r="N48" s="301">
        <f t="shared" si="67"/>
        <v>3837.66</v>
      </c>
      <c r="O48" s="301">
        <f t="shared" si="67"/>
        <v>4116.34</v>
      </c>
      <c r="P48" s="301">
        <f t="shared" si="67"/>
        <v>4178.38</v>
      </c>
      <c r="Q48" s="301">
        <f t="shared" si="67"/>
        <v>4912.2299999999996</v>
      </c>
      <c r="R48" s="301">
        <f t="shared" si="67"/>
        <v>4934.08</v>
      </c>
      <c r="S48" s="301">
        <f t="shared" si="67"/>
        <v>5005.9799999999996</v>
      </c>
      <c r="T48" s="301">
        <f t="shared" si="67"/>
        <v>5217.08</v>
      </c>
      <c r="U48" s="301">
        <f t="shared" si="67"/>
        <v>4346.47</v>
      </c>
      <c r="V48" s="301">
        <f>V49+V50+V51</f>
        <v>4713.84</v>
      </c>
      <c r="W48" s="301">
        <f>W49+W50+W51</f>
        <v>5174.68</v>
      </c>
      <c r="X48" s="301">
        <f t="shared" ref="X48" si="68">X49+X50+X51</f>
        <v>5050.3499999999995</v>
      </c>
      <c r="Y48" s="301">
        <f t="shared" si="65"/>
        <v>4929.6149999999998</v>
      </c>
      <c r="Z48" s="301"/>
      <c r="AB48" s="301">
        <f t="shared" ref="AB48" si="69">AB49+AB50+AB51</f>
        <v>5078.8549999999996</v>
      </c>
      <c r="AC48" s="301">
        <f>AC49+AC50+AC51</f>
        <v>5197.0349999999999</v>
      </c>
      <c r="AD48" s="301">
        <f>AD49+AD50+AD51</f>
        <v>4795.9450000000006</v>
      </c>
      <c r="AE48" s="301">
        <f>AE49+AE50+AE51</f>
        <v>4929.6149999999998</v>
      </c>
      <c r="AF48" s="301">
        <f>AF49+AF50+AF51</f>
        <v>4929.6149999999998</v>
      </c>
      <c r="AG48" s="301"/>
      <c r="AH48" s="301"/>
      <c r="AI48" s="301"/>
      <c r="AK48" s="313"/>
      <c r="AL48" s="313"/>
      <c r="AM48" s="313"/>
      <c r="AN48" s="313"/>
      <c r="AO48" s="313"/>
      <c r="AP48" s="313"/>
      <c r="AQ48" s="313"/>
      <c r="AR48" s="313"/>
    </row>
    <row r="49" spans="1:44" ht="15" customHeight="1" x14ac:dyDescent="0.25">
      <c r="B49" s="38" t="s">
        <v>50</v>
      </c>
      <c r="C49" s="38"/>
      <c r="D49" s="38"/>
      <c r="E49" s="38"/>
      <c r="F49" s="38"/>
      <c r="G49" s="38"/>
      <c r="H49" s="38"/>
      <c r="I49" s="38"/>
      <c r="J49" s="38"/>
      <c r="K49" s="38"/>
      <c r="L49" s="302">
        <v>2049.61</v>
      </c>
      <c r="M49" s="302">
        <v>2200.94</v>
      </c>
      <c r="N49" s="302">
        <v>2310.44</v>
      </c>
      <c r="O49" s="302">
        <v>2194.0700000000002</v>
      </c>
      <c r="P49" s="302">
        <v>2194.0700000000002</v>
      </c>
      <c r="Q49" s="302">
        <v>2194.2199999999998</v>
      </c>
      <c r="R49" s="302">
        <v>2194.2199999999998</v>
      </c>
      <c r="S49" s="302">
        <v>2243.7199999999998</v>
      </c>
      <c r="T49" s="302">
        <v>2311.52</v>
      </c>
      <c r="U49" s="302">
        <v>1974.2</v>
      </c>
      <c r="V49" s="302">
        <v>2137.37</v>
      </c>
      <c r="W49" s="302">
        <v>2193.61</v>
      </c>
      <c r="X49" s="302">
        <v>2157.58</v>
      </c>
      <c r="Y49" s="302" vm="531">
        <f t="shared" si="65"/>
        <v>1966.72</v>
      </c>
      <c r="Z49" s="302"/>
      <c r="AB49" s="302" vm="88">
        <v>2157.5849999999996</v>
      </c>
      <c r="AC49" s="302" vm="374">
        <v>2202.3850000000002</v>
      </c>
      <c r="AD49" s="302" vm="294">
        <v>1946.5700000000004</v>
      </c>
      <c r="AE49" s="302" vm="531">
        <v>1966.72</v>
      </c>
      <c r="AF49" s="302" vm="614">
        <v>1966.7199999999998</v>
      </c>
      <c r="AG49" s="308"/>
      <c r="AH49" s="308"/>
      <c r="AI49" s="308"/>
      <c r="AK49" s="315"/>
      <c r="AL49" s="315"/>
      <c r="AM49" s="315"/>
      <c r="AN49" s="315"/>
      <c r="AO49" s="315"/>
      <c r="AP49" s="315"/>
      <c r="AQ49" s="315"/>
      <c r="AR49" s="315"/>
    </row>
    <row r="50" spans="1:44" ht="15" customHeight="1" x14ac:dyDescent="0.25">
      <c r="B50" s="38" t="s">
        <v>51</v>
      </c>
      <c r="C50" s="38"/>
      <c r="D50" s="38"/>
      <c r="E50" s="38"/>
      <c r="F50" s="38"/>
      <c r="G50" s="38"/>
      <c r="H50" s="38"/>
      <c r="I50" s="38"/>
      <c r="J50" s="38"/>
      <c r="K50" s="38"/>
      <c r="L50" s="302">
        <v>599.16999999999996</v>
      </c>
      <c r="M50" s="302">
        <v>613.07000000000005</v>
      </c>
      <c r="N50" s="302">
        <v>615.37</v>
      </c>
      <c r="O50" s="302">
        <v>619.37</v>
      </c>
      <c r="P50" s="302">
        <v>621.72</v>
      </c>
      <c r="Q50" s="302">
        <v>1244.92</v>
      </c>
      <c r="R50" s="302">
        <v>1248.77</v>
      </c>
      <c r="S50" s="302">
        <v>1248.77</v>
      </c>
      <c r="T50" s="302">
        <v>1304.07</v>
      </c>
      <c r="U50" s="302">
        <v>1159.97</v>
      </c>
      <c r="V50" s="302">
        <v>1223.97</v>
      </c>
      <c r="W50" s="302">
        <v>1137.67</v>
      </c>
      <c r="X50" s="302">
        <v>1155.57</v>
      </c>
      <c r="Y50" s="302" vm="406">
        <f t="shared" si="65"/>
        <v>1177.17</v>
      </c>
      <c r="Z50" s="302"/>
      <c r="AB50" s="302" vm="89">
        <v>1155.57</v>
      </c>
      <c r="AC50" s="302" vm="376">
        <v>1177.17</v>
      </c>
      <c r="AD50" s="302" vm="295">
        <v>1159.17</v>
      </c>
      <c r="AE50" s="302" vm="406">
        <v>1177.17</v>
      </c>
      <c r="AF50" s="302" vm="615">
        <v>1177.1699999999996</v>
      </c>
      <c r="AG50" s="308"/>
      <c r="AH50" s="308"/>
      <c r="AI50" s="308"/>
      <c r="AK50" s="315"/>
      <c r="AL50" s="315"/>
      <c r="AM50" s="315"/>
      <c r="AN50" s="315"/>
      <c r="AO50" s="315"/>
      <c r="AP50" s="315"/>
      <c r="AQ50" s="315"/>
      <c r="AR50" s="315"/>
    </row>
    <row r="51" spans="1:44" ht="15" customHeight="1" x14ac:dyDescent="0.25">
      <c r="B51" s="38" t="s">
        <v>52</v>
      </c>
      <c r="C51" s="38"/>
      <c r="D51" s="38"/>
      <c r="E51" s="38"/>
      <c r="F51" s="38"/>
      <c r="G51" s="38"/>
      <c r="H51" s="38"/>
      <c r="I51" s="38"/>
      <c r="J51" s="38"/>
      <c r="K51" s="38"/>
      <c r="L51" s="302">
        <v>551.25</v>
      </c>
      <c r="M51" s="302">
        <v>837.85</v>
      </c>
      <c r="N51" s="302">
        <v>911.85</v>
      </c>
      <c r="O51" s="302">
        <v>1302.9000000000001</v>
      </c>
      <c r="P51" s="302">
        <v>1362.5900000000001</v>
      </c>
      <c r="Q51" s="302">
        <v>1473.0900000000001</v>
      </c>
      <c r="R51" s="302">
        <v>1491.0900000000001</v>
      </c>
      <c r="S51" s="302">
        <v>1513.49</v>
      </c>
      <c r="T51" s="302">
        <v>1601.49</v>
      </c>
      <c r="U51" s="302">
        <v>1212.3</v>
      </c>
      <c r="V51" s="302">
        <v>1352.5</v>
      </c>
      <c r="W51" s="302">
        <v>1843.3999999999996</v>
      </c>
      <c r="X51" s="302">
        <v>1737.1999999999998</v>
      </c>
      <c r="Y51" s="302">
        <f t="shared" si="65"/>
        <v>1785.7249999999999</v>
      </c>
      <c r="Z51" s="302"/>
      <c r="AB51" s="302">
        <v>1765.6999999999998</v>
      </c>
      <c r="AC51" s="302">
        <v>1817.4799999999998</v>
      </c>
      <c r="AD51" s="302">
        <v>1690.2049999999999</v>
      </c>
      <c r="AE51" s="302">
        <v>1785.7249999999999</v>
      </c>
      <c r="AF51" s="302">
        <v>1785.7249999999999</v>
      </c>
      <c r="AG51" s="308"/>
      <c r="AH51" s="308"/>
      <c r="AI51" s="308"/>
      <c r="AK51" s="315"/>
      <c r="AL51" s="315"/>
      <c r="AM51" s="315"/>
      <c r="AN51" s="315"/>
      <c r="AO51" s="315"/>
      <c r="AP51" s="315"/>
      <c r="AQ51" s="315"/>
      <c r="AR51" s="315"/>
    </row>
    <row r="52" spans="1:44" ht="15" customHeight="1" x14ac:dyDescent="0.25">
      <c r="B52" s="142" t="s">
        <v>3</v>
      </c>
      <c r="C52" s="142"/>
      <c r="D52" s="142"/>
      <c r="E52" s="142"/>
      <c r="F52" s="142"/>
      <c r="G52" s="142"/>
      <c r="H52" s="142"/>
      <c r="I52" s="142"/>
      <c r="J52" s="142"/>
      <c r="K52" s="142"/>
      <c r="L52" s="301">
        <f t="shared" ref="L52:U52" si="70">L53+L54+L55</f>
        <v>3223.52</v>
      </c>
      <c r="M52" s="301">
        <f t="shared" si="70"/>
        <v>3421.52</v>
      </c>
      <c r="N52" s="301">
        <f t="shared" si="70"/>
        <v>3636.78</v>
      </c>
      <c r="O52" s="301">
        <f t="shared" si="70"/>
        <v>3505.9</v>
      </c>
      <c r="P52" s="301">
        <f t="shared" si="70"/>
        <v>3804.9</v>
      </c>
      <c r="Q52" s="301">
        <f t="shared" si="70"/>
        <v>4202.8999999999996</v>
      </c>
      <c r="R52" s="301">
        <f t="shared" si="70"/>
        <v>4831.3999999999996</v>
      </c>
      <c r="S52" s="301">
        <f t="shared" si="70"/>
        <v>5194.09</v>
      </c>
      <c r="T52" s="301">
        <f t="shared" si="70"/>
        <v>5471.6</v>
      </c>
      <c r="U52" s="301">
        <f t="shared" si="70"/>
        <v>5853.2</v>
      </c>
      <c r="V52" s="301">
        <f>V53+V54+V55</f>
        <v>6005.2</v>
      </c>
      <c r="W52" s="301">
        <f>W53+W54+W55</f>
        <v>6079.27</v>
      </c>
      <c r="X52" s="301">
        <f t="shared" ref="X52" si="71">X53+X54+X55</f>
        <v>6175.27</v>
      </c>
      <c r="Y52" s="301">
        <f t="shared" si="65"/>
        <v>6671.021999999999</v>
      </c>
      <c r="Z52" s="301"/>
      <c r="AB52" s="301">
        <f t="shared" ref="AB52" si="72">AB53+AB54+AB55</f>
        <v>6172.3219999999992</v>
      </c>
      <c r="AC52" s="301">
        <f>AC53+AC54+AC55</f>
        <v>6172.3219999999992</v>
      </c>
      <c r="AD52" s="301">
        <f>AD53+AD54+AD55</f>
        <v>6172.3219999999992</v>
      </c>
      <c r="AE52" s="301">
        <f t="shared" ref="AE52:AF52" si="73">AE53+AE54+AE55</f>
        <v>6671.021999999999</v>
      </c>
      <c r="AF52" s="301">
        <f t="shared" si="73"/>
        <v>6373.9220000000005</v>
      </c>
      <c r="AG52" s="301"/>
      <c r="AH52" s="301"/>
      <c r="AI52" s="301"/>
      <c r="AK52" s="313"/>
      <c r="AL52" s="313"/>
      <c r="AM52" s="313"/>
      <c r="AN52" s="313"/>
      <c r="AO52" s="313"/>
      <c r="AP52" s="313"/>
      <c r="AQ52" s="313"/>
      <c r="AR52" s="313"/>
    </row>
    <row r="53" spans="1:44" ht="15" customHeight="1" x14ac:dyDescent="0.25">
      <c r="B53" s="38" t="s">
        <v>53</v>
      </c>
      <c r="C53" s="38"/>
      <c r="D53" s="38"/>
      <c r="E53" s="38"/>
      <c r="F53" s="38"/>
      <c r="G53" s="38"/>
      <c r="H53" s="38"/>
      <c r="I53" s="38"/>
      <c r="J53" s="38"/>
      <c r="K53" s="38"/>
      <c r="L53" s="302">
        <v>3223.52</v>
      </c>
      <c r="M53" s="302">
        <v>3421.52</v>
      </c>
      <c r="N53" s="302">
        <v>3636.78</v>
      </c>
      <c r="O53" s="302">
        <v>3475.9</v>
      </c>
      <c r="P53" s="302">
        <v>3774.9</v>
      </c>
      <c r="Q53" s="302">
        <v>4172.8999999999996</v>
      </c>
      <c r="R53" s="302">
        <v>4601.3999999999996</v>
      </c>
      <c r="S53" s="302">
        <v>4964.59</v>
      </c>
      <c r="T53" s="302">
        <v>5242.1000000000004</v>
      </c>
      <c r="U53" s="302">
        <v>5623.7</v>
      </c>
      <c r="V53" s="302">
        <v>5737.9</v>
      </c>
      <c r="W53" s="302">
        <v>5749.97</v>
      </c>
      <c r="X53" s="302">
        <v>5749.97</v>
      </c>
      <c r="Y53" s="302" vm="408">
        <f t="shared" si="65"/>
        <v>5948.6619999999994</v>
      </c>
      <c r="Z53" s="302"/>
      <c r="AB53" s="302" vm="82">
        <v>5747.061999999999</v>
      </c>
      <c r="AC53" s="302" vm="416">
        <v>5747.061999999999</v>
      </c>
      <c r="AD53" s="302" vm="297">
        <v>5747.061999999999</v>
      </c>
      <c r="AE53" s="302" vm="408">
        <v>5948.6619999999994</v>
      </c>
      <c r="AF53" s="302" vm="610">
        <v>5948.6620000000003</v>
      </c>
      <c r="AG53" s="308"/>
      <c r="AH53" s="308"/>
      <c r="AI53" s="308"/>
      <c r="AK53" s="315"/>
      <c r="AL53" s="315"/>
      <c r="AM53" s="315"/>
      <c r="AN53" s="315"/>
      <c r="AO53" s="315"/>
      <c r="AP53" s="315"/>
      <c r="AQ53" s="315"/>
      <c r="AR53" s="315"/>
    </row>
    <row r="54" spans="1:44" ht="15" customHeight="1" x14ac:dyDescent="0.25">
      <c r="B54" s="38" t="s">
        <v>54</v>
      </c>
      <c r="C54" s="38"/>
      <c r="D54" s="38"/>
      <c r="E54" s="38"/>
      <c r="F54" s="38"/>
      <c r="G54" s="38"/>
      <c r="H54" s="38"/>
      <c r="I54" s="38"/>
      <c r="J54" s="38"/>
      <c r="K54" s="38"/>
      <c r="L54" s="302">
        <v>0</v>
      </c>
      <c r="M54" s="302">
        <v>0</v>
      </c>
      <c r="N54" s="302">
        <v>0</v>
      </c>
      <c r="O54" s="302">
        <v>30</v>
      </c>
      <c r="P54" s="302">
        <v>30</v>
      </c>
      <c r="Q54" s="302">
        <v>30</v>
      </c>
      <c r="R54" s="302">
        <v>30</v>
      </c>
      <c r="S54" s="302">
        <v>30</v>
      </c>
      <c r="T54" s="302">
        <v>30</v>
      </c>
      <c r="U54" s="302">
        <v>30</v>
      </c>
      <c r="V54" s="302">
        <v>67.8</v>
      </c>
      <c r="W54" s="302">
        <v>129.80000000000001</v>
      </c>
      <c r="X54" s="302">
        <v>129.80000000000001</v>
      </c>
      <c r="Y54" s="302" vm="541">
        <f t="shared" si="65"/>
        <v>426.86</v>
      </c>
      <c r="Z54" s="302"/>
      <c r="AB54" s="302" vm="83">
        <v>129.76</v>
      </c>
      <c r="AC54" s="302" vm="378">
        <v>129.76</v>
      </c>
      <c r="AD54" s="302" vm="298">
        <v>129.76</v>
      </c>
      <c r="AE54" s="302" vm="541">
        <v>426.86</v>
      </c>
      <c r="AF54" s="302" vm="572">
        <v>129.76</v>
      </c>
      <c r="AG54" s="308"/>
      <c r="AH54" s="308"/>
      <c r="AI54" s="308"/>
      <c r="AK54" s="315"/>
      <c r="AL54" s="315"/>
      <c r="AM54" s="315"/>
      <c r="AN54" s="315"/>
      <c r="AO54" s="315"/>
      <c r="AP54" s="315"/>
      <c r="AQ54" s="315"/>
      <c r="AR54" s="315"/>
    </row>
    <row r="55" spans="1:44" s="251" customFormat="1" ht="15" customHeight="1" x14ac:dyDescent="0.25">
      <c r="A55"/>
      <c r="B55" s="38" t="s">
        <v>55</v>
      </c>
      <c r="C55" s="38"/>
      <c r="D55" s="38"/>
      <c r="E55" s="38"/>
      <c r="F55" s="38"/>
      <c r="G55" s="38"/>
      <c r="H55" s="38"/>
      <c r="I55" s="38"/>
      <c r="J55" s="38"/>
      <c r="K55" s="38"/>
      <c r="L55" s="302">
        <v>0</v>
      </c>
      <c r="M55" s="302">
        <v>0</v>
      </c>
      <c r="N55" s="302">
        <v>0</v>
      </c>
      <c r="O55" s="302">
        <v>0</v>
      </c>
      <c r="P55" s="302">
        <v>0</v>
      </c>
      <c r="Q55" s="302">
        <v>0</v>
      </c>
      <c r="R55" s="302">
        <v>200</v>
      </c>
      <c r="S55" s="302">
        <v>199.5</v>
      </c>
      <c r="T55" s="302">
        <v>199.5</v>
      </c>
      <c r="U55" s="302">
        <v>199.5</v>
      </c>
      <c r="V55" s="302">
        <v>199.5</v>
      </c>
      <c r="W55" s="302">
        <v>199.5</v>
      </c>
      <c r="X55" s="302">
        <v>295.5</v>
      </c>
      <c r="Y55" s="302" vm="542">
        <f t="shared" si="65"/>
        <v>295.5</v>
      </c>
      <c r="Z55" s="302"/>
      <c r="AB55" s="302" vm="90">
        <v>295.5</v>
      </c>
      <c r="AC55" s="302" vm="418">
        <v>295.5</v>
      </c>
      <c r="AD55" s="302" vm="417">
        <v>295.5</v>
      </c>
      <c r="AE55" s="302" vm="542">
        <v>295.5</v>
      </c>
      <c r="AF55" s="302" vm="616">
        <v>295.5</v>
      </c>
      <c r="AG55" s="308"/>
      <c r="AH55" s="308"/>
      <c r="AI55" s="308"/>
      <c r="AK55" s="315"/>
      <c r="AL55" s="315"/>
      <c r="AM55" s="315"/>
      <c r="AN55" s="315"/>
      <c r="AO55" s="315"/>
      <c r="AP55" s="315"/>
      <c r="AQ55" s="315"/>
      <c r="AR55" s="315"/>
    </row>
    <row r="56" spans="1:44" ht="15" customHeight="1" x14ac:dyDescent="0.25">
      <c r="B56" s="142" t="s">
        <v>270</v>
      </c>
      <c r="C56" s="142"/>
      <c r="D56" s="142"/>
      <c r="E56" s="142"/>
      <c r="F56" s="142"/>
      <c r="G56" s="142"/>
      <c r="H56" s="142"/>
      <c r="I56" s="142"/>
      <c r="J56" s="142"/>
      <c r="K56" s="142"/>
      <c r="L56" s="301">
        <f>L57</f>
        <v>13.8</v>
      </c>
      <c r="M56" s="301">
        <f t="shared" ref="M56:U56" si="74">M57</f>
        <v>83.8</v>
      </c>
      <c r="N56" s="301">
        <f t="shared" si="74"/>
        <v>83.8</v>
      </c>
      <c r="O56" s="301">
        <f t="shared" si="74"/>
        <v>83.8</v>
      </c>
      <c r="P56" s="301">
        <f t="shared" si="74"/>
        <v>83.8</v>
      </c>
      <c r="Q56" s="301">
        <f t="shared" si="74"/>
        <v>83.8</v>
      </c>
      <c r="R56" s="301">
        <f t="shared" si="74"/>
        <v>203.8</v>
      </c>
      <c r="S56" s="301">
        <f t="shared" si="74"/>
        <v>330.7</v>
      </c>
      <c r="T56" s="301">
        <f t="shared" si="74"/>
        <v>467.2</v>
      </c>
      <c r="U56" s="301">
        <f t="shared" si="74"/>
        <v>467.2</v>
      </c>
      <c r="V56" s="301">
        <f>V57</f>
        <v>435.7</v>
      </c>
      <c r="W56" s="301">
        <f>W57</f>
        <v>591.20000000000005</v>
      </c>
      <c r="X56" s="301">
        <f t="shared" ref="X56" si="75">X57</f>
        <v>910.4</v>
      </c>
      <c r="Y56" s="301">
        <f t="shared" si="65"/>
        <v>831.60000000000014</v>
      </c>
      <c r="Z56" s="301"/>
      <c r="AB56" s="301" vm="81">
        <f t="shared" ref="AB56:AD56" si="76">AB57</f>
        <v>910.4</v>
      </c>
      <c r="AC56" s="301" vm="379">
        <f t="shared" si="76"/>
        <v>910.4</v>
      </c>
      <c r="AD56" s="301" vm="299">
        <f t="shared" si="76"/>
        <v>910.4</v>
      </c>
      <c r="AE56" s="301">
        <f>AE57+AE58</f>
        <v>831.60000000000014</v>
      </c>
      <c r="AF56" s="301">
        <f>AF57+AF58</f>
        <v>830.9</v>
      </c>
      <c r="AG56" s="301"/>
      <c r="AH56" s="301"/>
      <c r="AI56" s="301"/>
      <c r="AK56" s="313"/>
      <c r="AL56" s="313"/>
      <c r="AM56" s="313"/>
      <c r="AN56" s="313"/>
      <c r="AO56" s="313"/>
      <c r="AP56" s="313"/>
      <c r="AQ56" s="313"/>
      <c r="AR56" s="313"/>
    </row>
    <row r="57" spans="1:44" ht="15" customHeight="1" x14ac:dyDescent="0.25">
      <c r="B57" s="38" t="s">
        <v>39</v>
      </c>
      <c r="C57" s="38"/>
      <c r="D57" s="38"/>
      <c r="E57" s="38"/>
      <c r="F57" s="38"/>
      <c r="G57" s="38"/>
      <c r="H57" s="38"/>
      <c r="I57" s="38"/>
      <c r="J57" s="38"/>
      <c r="K57" s="38"/>
      <c r="L57" s="302">
        <v>13.8</v>
      </c>
      <c r="M57" s="302">
        <v>83.8</v>
      </c>
      <c r="N57" s="302">
        <v>83.8</v>
      </c>
      <c r="O57" s="302">
        <v>83.8</v>
      </c>
      <c r="P57" s="302">
        <v>83.8</v>
      </c>
      <c r="Q57" s="302">
        <v>83.8</v>
      </c>
      <c r="R57" s="302">
        <v>203.8</v>
      </c>
      <c r="S57" s="302">
        <v>330.7</v>
      </c>
      <c r="T57" s="302">
        <v>467.2</v>
      </c>
      <c r="U57" s="302">
        <v>467.2</v>
      </c>
      <c r="V57" s="302">
        <v>435.7</v>
      </c>
      <c r="W57" s="302">
        <v>591.20000000000005</v>
      </c>
      <c r="X57" s="302">
        <v>910.4</v>
      </c>
      <c r="Y57" s="302" vm="543">
        <f t="shared" si="65"/>
        <v>749.00000000000011</v>
      </c>
      <c r="Z57" s="302"/>
      <c r="AB57" s="302" vm="81">
        <v>910.4</v>
      </c>
      <c r="AC57" s="302" vm="379">
        <v>910.4</v>
      </c>
      <c r="AD57" s="302" vm="299">
        <v>910.4</v>
      </c>
      <c r="AE57" s="302" vm="543">
        <v>749.00000000000011</v>
      </c>
      <c r="AF57" s="302" vm="618">
        <v>748.3</v>
      </c>
      <c r="AG57" s="308"/>
      <c r="AH57" s="308"/>
      <c r="AI57" s="308"/>
      <c r="AK57" s="315"/>
      <c r="AL57" s="315"/>
      <c r="AM57" s="315"/>
      <c r="AN57" s="315"/>
      <c r="AO57" s="315"/>
      <c r="AP57" s="315"/>
      <c r="AQ57" s="315"/>
      <c r="AR57" s="315"/>
    </row>
    <row r="58" spans="1:44" ht="15" customHeight="1" x14ac:dyDescent="0.25">
      <c r="B58" s="38" t="s">
        <v>314</v>
      </c>
      <c r="C58" s="38"/>
      <c r="D58" s="38"/>
      <c r="E58" s="38"/>
      <c r="F58" s="38"/>
      <c r="G58" s="38"/>
      <c r="H58" s="38"/>
      <c r="I58" s="38"/>
      <c r="J58" s="38"/>
      <c r="K58" s="38"/>
      <c r="L58" s="425" t="s">
        <v>17</v>
      </c>
      <c r="M58" s="425" t="s">
        <v>17</v>
      </c>
      <c r="N58" s="425" t="s">
        <v>17</v>
      </c>
      <c r="O58" s="425" t="s">
        <v>17</v>
      </c>
      <c r="P58" s="425" t="s">
        <v>17</v>
      </c>
      <c r="Q58" s="425" t="s">
        <v>17</v>
      </c>
      <c r="R58" s="425" t="s">
        <v>17</v>
      </c>
      <c r="S58" s="425" t="s">
        <v>17</v>
      </c>
      <c r="T58" s="425" t="s">
        <v>17</v>
      </c>
      <c r="U58" s="425" t="s">
        <v>17</v>
      </c>
      <c r="V58" s="425" t="s">
        <v>17</v>
      </c>
      <c r="W58" s="425" t="s">
        <v>17</v>
      </c>
      <c r="X58" s="425" t="s">
        <v>17</v>
      </c>
      <c r="Y58" s="425" t="s">
        <v>17</v>
      </c>
      <c r="Z58" s="425"/>
      <c r="AA58" s="385"/>
      <c r="AB58" s="425" t="s">
        <v>17</v>
      </c>
      <c r="AC58" s="425" t="s">
        <v>17</v>
      </c>
      <c r="AD58" s="425" t="s">
        <v>17</v>
      </c>
      <c r="AE58" s="425" vm="420">
        <v>82.6</v>
      </c>
      <c r="AF58" s="425" vm="573">
        <v>82.6</v>
      </c>
      <c r="AG58" s="308"/>
      <c r="AH58" s="308"/>
      <c r="AI58" s="308"/>
      <c r="AK58" s="315"/>
      <c r="AL58" s="315"/>
      <c r="AM58" s="315"/>
      <c r="AN58" s="315"/>
      <c r="AO58" s="315"/>
      <c r="AP58" s="315"/>
      <c r="AQ58" s="315"/>
      <c r="AR58" s="315"/>
    </row>
    <row r="59" spans="1:44" ht="15" customHeight="1" x14ac:dyDescent="0.25">
      <c r="B59" s="142" t="s">
        <v>48</v>
      </c>
      <c r="C59" s="38"/>
      <c r="D59" s="38"/>
      <c r="E59" s="38"/>
      <c r="F59" s="38"/>
      <c r="G59" s="38"/>
      <c r="H59" s="38"/>
      <c r="I59" s="38"/>
      <c r="J59" s="38"/>
      <c r="K59" s="38"/>
      <c r="L59" s="426" t="s">
        <v>17</v>
      </c>
      <c r="M59" s="426" t="s">
        <v>17</v>
      </c>
      <c r="N59" s="426" t="s">
        <v>17</v>
      </c>
      <c r="O59" s="426" t="s">
        <v>17</v>
      </c>
      <c r="P59" s="426" t="s">
        <v>17</v>
      </c>
      <c r="Q59" s="426" t="s">
        <v>17</v>
      </c>
      <c r="R59" s="426" t="s">
        <v>17</v>
      </c>
      <c r="S59" s="426" t="s">
        <v>17</v>
      </c>
      <c r="T59" s="426" t="s">
        <v>17</v>
      </c>
      <c r="U59" s="426" t="s">
        <v>17</v>
      </c>
      <c r="V59" s="426" t="s">
        <v>17</v>
      </c>
      <c r="W59" s="426" t="s">
        <v>17</v>
      </c>
      <c r="X59" s="426" t="s">
        <v>17</v>
      </c>
      <c r="Y59" s="426" t="s">
        <v>17</v>
      </c>
      <c r="Z59" s="426"/>
      <c r="AB59" s="426" t="s">
        <v>17</v>
      </c>
      <c r="AC59" s="426" t="s">
        <v>17</v>
      </c>
      <c r="AD59" s="426" t="s">
        <v>17</v>
      </c>
      <c r="AE59" s="426" t="s">
        <v>17</v>
      </c>
      <c r="AF59" s="426" t="s">
        <v>17</v>
      </c>
      <c r="AG59" s="352"/>
      <c r="AH59" s="352"/>
      <c r="AI59" s="352"/>
      <c r="AK59" s="315"/>
      <c r="AL59" s="315"/>
      <c r="AM59" s="315"/>
      <c r="AN59" s="315"/>
      <c r="AO59" s="315"/>
      <c r="AP59" s="315"/>
      <c r="AQ59" s="315"/>
      <c r="AR59" s="315"/>
    </row>
    <row r="60" spans="1:44" ht="15" customHeight="1" x14ac:dyDescent="0.25">
      <c r="B60" s="20"/>
      <c r="C60" s="20"/>
      <c r="D60" s="20"/>
      <c r="E60" s="20"/>
      <c r="F60" s="20"/>
      <c r="G60" s="20"/>
      <c r="H60" s="20"/>
      <c r="I60" s="20"/>
      <c r="J60" s="20"/>
      <c r="K60" s="20"/>
      <c r="L60" s="302"/>
      <c r="M60" s="107"/>
      <c r="N60" s="107"/>
      <c r="O60" s="107"/>
      <c r="P60" s="107"/>
      <c r="Q60" s="309"/>
      <c r="R60" s="309"/>
      <c r="S60" s="309"/>
      <c r="T60" s="309"/>
      <c r="U60" s="309"/>
      <c r="V60" s="309"/>
      <c r="W60" s="309"/>
      <c r="X60" s="309"/>
      <c r="Y60" s="309"/>
      <c r="Z60" s="309"/>
      <c r="AB60" s="309"/>
      <c r="AC60" s="309"/>
      <c r="AD60" s="309"/>
      <c r="AE60" s="309"/>
      <c r="AF60" s="309"/>
      <c r="AK60" s="316"/>
      <c r="AL60" s="316"/>
      <c r="AM60" s="316"/>
      <c r="AN60" s="316"/>
      <c r="AO60" s="316"/>
      <c r="AP60" s="316"/>
      <c r="AQ60" s="316"/>
      <c r="AR60" s="316"/>
    </row>
    <row r="61" spans="1:44" s="251" customFormat="1" ht="15" customHeight="1" x14ac:dyDescent="0.25">
      <c r="A61"/>
      <c r="B61" s="6" t="s">
        <v>338</v>
      </c>
      <c r="C61" s="6"/>
      <c r="D61" s="6"/>
      <c r="E61" s="6"/>
      <c r="F61" s="6"/>
      <c r="G61" s="6"/>
      <c r="H61" s="6"/>
      <c r="I61" s="6"/>
      <c r="J61" s="6"/>
      <c r="K61" s="6"/>
      <c r="L61" s="260">
        <f>L62+L66+L70+L72</f>
        <v>0</v>
      </c>
      <c r="M61" s="260">
        <f t="shared" ref="M61:U61" si="77">M62+M66+M70+M72</f>
        <v>0</v>
      </c>
      <c r="N61" s="260">
        <f t="shared" si="77"/>
        <v>38.78</v>
      </c>
      <c r="O61" s="260">
        <f t="shared" si="77"/>
        <v>50.38</v>
      </c>
      <c r="P61" s="260">
        <f t="shared" si="77"/>
        <v>82.38</v>
      </c>
      <c r="Q61" s="260">
        <f t="shared" si="77"/>
        <v>82.38</v>
      </c>
      <c r="R61" s="260">
        <f t="shared" si="77"/>
        <v>82.38</v>
      </c>
      <c r="S61" s="260">
        <f t="shared" si="77"/>
        <v>145.19</v>
      </c>
      <c r="T61" s="260">
        <f t="shared" si="77"/>
        <v>145.19</v>
      </c>
      <c r="U61" s="260">
        <f t="shared" si="77"/>
        <v>145.19</v>
      </c>
      <c r="V61" s="260">
        <f>V62+V66+V70+V72</f>
        <v>345.19</v>
      </c>
      <c r="W61" s="260">
        <f>W62+W66+W70+W72</f>
        <v>644.83999999999992</v>
      </c>
      <c r="X61" s="260">
        <f t="shared" ref="X61" si="78">X62+X66+X70+X72</f>
        <v>1497.5300000000002</v>
      </c>
      <c r="Y61" s="260">
        <f t="shared" ref="Y61:Y71" si="79">AE61</f>
        <v>3053.0399934899992</v>
      </c>
      <c r="Z61" s="260"/>
      <c r="AB61" s="260">
        <f t="shared" ref="AB61:AC61" si="80">AB62+AB66+AB70+AB72</f>
        <v>1522.2008056099999</v>
      </c>
      <c r="AC61" s="260">
        <f t="shared" si="80"/>
        <v>1817.5857097499998</v>
      </c>
      <c r="AD61" s="260">
        <f t="shared" ref="AD61:AE61" si="81">AD62+AD66+AD70+AD72</f>
        <v>2197.8812692799997</v>
      </c>
      <c r="AE61" s="260">
        <f t="shared" si="81"/>
        <v>3053.0399934899992</v>
      </c>
      <c r="AF61" s="260">
        <f>AF62+AF66+AF70+AF72</f>
        <v>3166.4652999999998</v>
      </c>
      <c r="AG61" s="260"/>
      <c r="AH61" s="260"/>
      <c r="AI61" s="260"/>
      <c r="AK61" s="317"/>
      <c r="AL61" s="317"/>
      <c r="AM61" s="317"/>
      <c r="AN61" s="317"/>
      <c r="AO61" s="317"/>
      <c r="AP61" s="317"/>
      <c r="AQ61" s="317"/>
      <c r="AR61" s="317"/>
    </row>
    <row r="62" spans="1:44" ht="15" customHeight="1" x14ac:dyDescent="0.25">
      <c r="B62" s="142" t="s">
        <v>41</v>
      </c>
      <c r="C62" s="142"/>
      <c r="D62" s="142"/>
      <c r="E62" s="142"/>
      <c r="F62" s="142"/>
      <c r="G62" s="142"/>
      <c r="H62" s="142"/>
      <c r="I62" s="142"/>
      <c r="J62" s="142"/>
      <c r="K62" s="142"/>
      <c r="L62" s="260">
        <f>SUM(L63:L65)</f>
        <v>0</v>
      </c>
      <c r="M62" s="260">
        <f t="shared" ref="M62:U62" si="82">SUM(M63:M65)</f>
        <v>0</v>
      </c>
      <c r="N62" s="260">
        <f t="shared" si="82"/>
        <v>38.78</v>
      </c>
      <c r="O62" s="260">
        <f t="shared" si="82"/>
        <v>50.38</v>
      </c>
      <c r="P62" s="260">
        <f t="shared" si="82"/>
        <v>52.38</v>
      </c>
      <c r="Q62" s="260">
        <f t="shared" si="82"/>
        <v>52.38</v>
      </c>
      <c r="R62" s="260">
        <f t="shared" si="82"/>
        <v>52.38</v>
      </c>
      <c r="S62" s="260">
        <f t="shared" si="82"/>
        <v>54.88</v>
      </c>
      <c r="T62" s="260">
        <f t="shared" si="82"/>
        <v>54.88</v>
      </c>
      <c r="U62" s="260">
        <f t="shared" si="82"/>
        <v>54.88</v>
      </c>
      <c r="V62" s="260">
        <f>SUM(V63:V65)</f>
        <v>54.88</v>
      </c>
      <c r="W62" s="260">
        <f>SUM(W63:W65)</f>
        <v>54.88</v>
      </c>
      <c r="X62" s="260">
        <f t="shared" ref="X62" si="83">SUM(X63:X65)</f>
        <v>107.78</v>
      </c>
      <c r="Y62" s="260">
        <f t="shared" si="79"/>
        <v>605.66</v>
      </c>
      <c r="Z62" s="260"/>
      <c r="AB62" s="260">
        <f t="shared" ref="AB62:AC62" si="84">SUM(AB63:AB65)</f>
        <v>107.78</v>
      </c>
      <c r="AC62" s="260">
        <f t="shared" si="84"/>
        <v>291.41999999999996</v>
      </c>
      <c r="AD62" s="260">
        <f t="shared" ref="AD62:AE62" si="85">SUM(AD63:AD65)</f>
        <v>511.41999999999996</v>
      </c>
      <c r="AE62" s="260">
        <f t="shared" si="85"/>
        <v>605.66</v>
      </c>
      <c r="AF62" s="260">
        <f>SUM(AF63:AF65)</f>
        <v>616.86</v>
      </c>
      <c r="AG62" s="260"/>
      <c r="AH62" s="260"/>
      <c r="AI62" s="260"/>
      <c r="AK62" s="317"/>
      <c r="AL62" s="317"/>
      <c r="AM62" s="317"/>
      <c r="AN62" s="317"/>
      <c r="AO62" s="317"/>
      <c r="AP62" s="317"/>
      <c r="AQ62" s="317"/>
      <c r="AR62" s="317"/>
    </row>
    <row r="63" spans="1:44" s="251" customFormat="1" ht="15" customHeight="1" x14ac:dyDescent="0.25">
      <c r="A63"/>
      <c r="B63" s="38" t="s">
        <v>50</v>
      </c>
      <c r="C63" s="38"/>
      <c r="D63" s="38"/>
      <c r="E63" s="38"/>
      <c r="F63" s="38"/>
      <c r="G63" s="38"/>
      <c r="H63" s="38"/>
      <c r="I63" s="38"/>
      <c r="J63" s="38"/>
      <c r="K63" s="38"/>
      <c r="L63" s="302">
        <v>0</v>
      </c>
      <c r="M63" s="302">
        <v>0</v>
      </c>
      <c r="N63" s="302">
        <v>0</v>
      </c>
      <c r="O63" s="302">
        <v>0</v>
      </c>
      <c r="P63" s="302">
        <v>0</v>
      </c>
      <c r="Q63" s="302">
        <v>0</v>
      </c>
      <c r="R63" s="302">
        <v>0</v>
      </c>
      <c r="S63" s="302">
        <v>0</v>
      </c>
      <c r="T63" s="302">
        <v>0</v>
      </c>
      <c r="U63" s="302">
        <v>0</v>
      </c>
      <c r="V63" s="302">
        <v>0</v>
      </c>
      <c r="W63" s="302">
        <v>0</v>
      </c>
      <c r="X63" s="302">
        <v>8.5</v>
      </c>
      <c r="Y63" s="302" vm="420">
        <f t="shared" si="79"/>
        <v>74.87</v>
      </c>
      <c r="Z63" s="302"/>
      <c r="AB63" s="302" vm="147">
        <v>8.5</v>
      </c>
      <c r="AC63" s="302" vm="375">
        <v>8.5</v>
      </c>
      <c r="AD63" s="302" vm="260">
        <v>8.5</v>
      </c>
      <c r="AE63" s="302" vm="420">
        <v>74.87</v>
      </c>
      <c r="AF63" s="302" vm="611">
        <v>74.87</v>
      </c>
      <c r="AG63" s="308"/>
      <c r="AH63" s="308"/>
      <c r="AI63" s="308"/>
      <c r="AK63" s="315"/>
      <c r="AL63" s="315"/>
      <c r="AM63" s="315"/>
      <c r="AN63" s="315"/>
      <c r="AO63" s="315"/>
      <c r="AP63" s="315"/>
      <c r="AQ63" s="315"/>
      <c r="AR63" s="315"/>
    </row>
    <row r="64" spans="1:44" ht="15" customHeight="1" x14ac:dyDescent="0.25">
      <c r="B64" s="38" t="s">
        <v>51</v>
      </c>
      <c r="C64" s="38"/>
      <c r="D64" s="38"/>
      <c r="E64" s="38"/>
      <c r="F64" s="38"/>
      <c r="G64" s="38"/>
      <c r="H64" s="38"/>
      <c r="I64" s="38"/>
      <c r="J64" s="38"/>
      <c r="K64" s="38"/>
      <c r="L64" s="302">
        <v>0</v>
      </c>
      <c r="M64" s="302">
        <v>0</v>
      </c>
      <c r="N64" s="302">
        <v>0</v>
      </c>
      <c r="O64" s="302">
        <v>0</v>
      </c>
      <c r="P64" s="302">
        <v>2</v>
      </c>
      <c r="Q64" s="302">
        <v>2</v>
      </c>
      <c r="R64" s="302">
        <v>2</v>
      </c>
      <c r="S64" s="302">
        <v>4.5</v>
      </c>
      <c r="T64" s="302">
        <v>4.5</v>
      </c>
      <c r="U64" s="302">
        <v>4.5</v>
      </c>
      <c r="V64" s="302">
        <v>4.5</v>
      </c>
      <c r="W64" s="302">
        <v>4.5</v>
      </c>
      <c r="X64" s="302">
        <v>12.9</v>
      </c>
      <c r="Y64" s="302" vm="540">
        <f t="shared" si="79"/>
        <v>235.8</v>
      </c>
      <c r="Z64" s="302"/>
      <c r="AB64" s="302" vm="89">
        <v>12.9</v>
      </c>
      <c r="AC64" s="302" vm="377">
        <v>12.9</v>
      </c>
      <c r="AD64" s="302" vm="296">
        <v>232.9</v>
      </c>
      <c r="AE64" s="302" vm="540">
        <v>235.8</v>
      </c>
      <c r="AF64" s="302" vm="609">
        <v>235.8</v>
      </c>
      <c r="AG64" s="308"/>
      <c r="AH64" s="308"/>
      <c r="AI64" s="308"/>
      <c r="AK64" s="315"/>
      <c r="AL64" s="315"/>
      <c r="AM64" s="315"/>
      <c r="AN64" s="315"/>
      <c r="AO64" s="315"/>
      <c r="AP64" s="315"/>
      <c r="AQ64" s="315"/>
      <c r="AR64" s="315"/>
    </row>
    <row r="65" spans="2:44" ht="15" customHeight="1" x14ac:dyDescent="0.25">
      <c r="B65" s="38" t="s">
        <v>52</v>
      </c>
      <c r="C65" s="38"/>
      <c r="D65" s="38"/>
      <c r="E65" s="38"/>
      <c r="F65" s="38"/>
      <c r="G65" s="38"/>
      <c r="H65" s="38"/>
      <c r="I65" s="38"/>
      <c r="J65" s="38"/>
      <c r="K65" s="38"/>
      <c r="L65" s="302">
        <v>0</v>
      </c>
      <c r="M65" s="302">
        <v>0</v>
      </c>
      <c r="N65" s="302">
        <v>38.78</v>
      </c>
      <c r="O65" s="302">
        <v>50.38</v>
      </c>
      <c r="P65" s="302">
        <v>50.38</v>
      </c>
      <c r="Q65" s="302">
        <v>50.38</v>
      </c>
      <c r="R65" s="302">
        <v>50.38</v>
      </c>
      <c r="S65" s="302">
        <v>50.38</v>
      </c>
      <c r="T65" s="302">
        <v>50.38</v>
      </c>
      <c r="U65" s="302">
        <v>50.38</v>
      </c>
      <c r="V65" s="302">
        <v>50.38</v>
      </c>
      <c r="W65" s="302">
        <v>50.38</v>
      </c>
      <c r="X65" s="302">
        <v>86.38</v>
      </c>
      <c r="Y65" s="302">
        <f t="shared" si="79"/>
        <v>294.98999999999995</v>
      </c>
      <c r="Z65" s="302"/>
      <c r="AB65" s="302">
        <v>86.38</v>
      </c>
      <c r="AC65" s="302">
        <v>270.02</v>
      </c>
      <c r="AD65" s="302">
        <v>270.02</v>
      </c>
      <c r="AE65" s="302">
        <v>294.98999999999995</v>
      </c>
      <c r="AF65" s="302">
        <v>306.19</v>
      </c>
      <c r="AG65" s="308"/>
      <c r="AH65" s="308"/>
      <c r="AI65" s="308"/>
      <c r="AK65" s="315"/>
      <c r="AL65" s="315"/>
      <c r="AM65" s="315"/>
      <c r="AN65" s="315"/>
      <c r="AO65" s="315"/>
      <c r="AP65" s="315"/>
      <c r="AQ65" s="315"/>
      <c r="AR65" s="315"/>
    </row>
    <row r="66" spans="2:44" ht="15" customHeight="1" x14ac:dyDescent="0.25">
      <c r="B66" s="142" t="s">
        <v>3</v>
      </c>
      <c r="C66" s="142"/>
      <c r="D66" s="142"/>
      <c r="E66" s="142"/>
      <c r="F66" s="142"/>
      <c r="G66" s="142"/>
      <c r="H66" s="142"/>
      <c r="I66" s="142"/>
      <c r="J66" s="142"/>
      <c r="K66" s="142"/>
      <c r="L66" s="301">
        <f>SUM(L67:L69)</f>
        <v>0</v>
      </c>
      <c r="M66" s="301">
        <f t="shared" ref="M66:U66" si="86">SUM(M67:M69)</f>
        <v>0</v>
      </c>
      <c r="N66" s="301">
        <f t="shared" si="86"/>
        <v>0</v>
      </c>
      <c r="O66" s="301">
        <f t="shared" si="86"/>
        <v>0</v>
      </c>
      <c r="P66" s="301">
        <f t="shared" si="86"/>
        <v>30</v>
      </c>
      <c r="Q66" s="301">
        <f t="shared" si="86"/>
        <v>30</v>
      </c>
      <c r="R66" s="301">
        <f t="shared" si="86"/>
        <v>30</v>
      </c>
      <c r="S66" s="301">
        <f t="shared" si="86"/>
        <v>90.31</v>
      </c>
      <c r="T66" s="301">
        <f t="shared" si="86"/>
        <v>90.31</v>
      </c>
      <c r="U66" s="301">
        <f t="shared" si="86"/>
        <v>90.31</v>
      </c>
      <c r="V66" s="301">
        <f>SUM(V67:V69)</f>
        <v>290.31</v>
      </c>
      <c r="W66" s="301">
        <f>SUM(W67:W69)</f>
        <v>358.45</v>
      </c>
      <c r="X66" s="301">
        <f t="shared" ref="X66" si="87">SUM(X67:X69)</f>
        <v>474.91</v>
      </c>
      <c r="Y66" s="301">
        <f t="shared" si="79"/>
        <v>1141.8499999999999</v>
      </c>
      <c r="Z66" s="301"/>
      <c r="AB66" s="301">
        <f t="shared" ref="AB66:AC66" si="88">SUM(AB67:AB69)</f>
        <v>474.90999999999997</v>
      </c>
      <c r="AC66" s="301">
        <f t="shared" si="88"/>
        <v>532.55000000000007</v>
      </c>
      <c r="AD66" s="301">
        <f>SUM(AD67:AD69)</f>
        <v>650.8900000000001</v>
      </c>
      <c r="AE66" s="301">
        <f>SUM(AE67:AE69)</f>
        <v>1141.8499999999999</v>
      </c>
      <c r="AF66" s="301">
        <f t="shared" ref="AF66" si="89">SUM(AF67:AF69)</f>
        <v>1216.25</v>
      </c>
      <c r="AG66" s="301"/>
      <c r="AH66" s="301"/>
      <c r="AI66" s="301"/>
      <c r="AK66" s="313"/>
      <c r="AL66" s="313"/>
      <c r="AM66" s="313"/>
      <c r="AN66" s="313"/>
      <c r="AO66" s="313"/>
      <c r="AP66" s="313"/>
      <c r="AQ66" s="313"/>
      <c r="AR66" s="313"/>
    </row>
    <row r="67" spans="2:44" ht="15" customHeight="1" x14ac:dyDescent="0.25">
      <c r="B67" s="38" t="s">
        <v>53</v>
      </c>
      <c r="C67" s="38"/>
      <c r="D67" s="38"/>
      <c r="E67" s="38"/>
      <c r="F67" s="38"/>
      <c r="G67" s="38"/>
      <c r="H67" s="38"/>
      <c r="I67" s="38"/>
      <c r="J67" s="38"/>
      <c r="K67" s="38"/>
      <c r="L67" s="302">
        <v>0</v>
      </c>
      <c r="M67" s="302">
        <v>0</v>
      </c>
      <c r="N67" s="302">
        <v>0</v>
      </c>
      <c r="O67" s="302">
        <v>0</v>
      </c>
      <c r="P67" s="302">
        <v>30</v>
      </c>
      <c r="Q67" s="302">
        <v>30</v>
      </c>
      <c r="R67" s="302">
        <v>30</v>
      </c>
      <c r="S67" s="302">
        <v>90.31</v>
      </c>
      <c r="T67" s="302">
        <v>90.31</v>
      </c>
      <c r="U67" s="302">
        <v>90.31</v>
      </c>
      <c r="V67" s="302">
        <v>90.31</v>
      </c>
      <c r="W67" s="302">
        <v>158.44999999999999</v>
      </c>
      <c r="X67" s="302">
        <v>274.91000000000003</v>
      </c>
      <c r="Y67" s="302">
        <f t="shared" si="79"/>
        <v>941.84999999999991</v>
      </c>
      <c r="Z67" s="302"/>
      <c r="AB67" s="302" vm="80">
        <v>274.90999999999997</v>
      </c>
      <c r="AC67" s="302">
        <v>332.55000000000007</v>
      </c>
      <c r="AD67" s="302">
        <v>450.89000000000004</v>
      </c>
      <c r="AE67" s="302">
        <v>941.84999999999991</v>
      </c>
      <c r="AF67" s="302">
        <v>1016.25</v>
      </c>
      <c r="AG67" s="308"/>
      <c r="AH67" s="308"/>
      <c r="AI67" s="308"/>
      <c r="AK67" s="315"/>
      <c r="AL67" s="315"/>
      <c r="AM67" s="315"/>
      <c r="AN67" s="315"/>
      <c r="AO67" s="315"/>
      <c r="AP67" s="315"/>
      <c r="AQ67" s="315"/>
      <c r="AR67" s="315"/>
    </row>
    <row r="68" spans="2:44" ht="15" customHeight="1" x14ac:dyDescent="0.25">
      <c r="B68" s="38" t="s">
        <v>54</v>
      </c>
      <c r="C68" s="38"/>
      <c r="D68" s="38"/>
      <c r="E68" s="38"/>
      <c r="F68" s="38"/>
      <c r="G68" s="38"/>
      <c r="H68" s="38"/>
      <c r="I68" s="38"/>
      <c r="J68" s="38"/>
      <c r="K68" s="38"/>
      <c r="L68" s="302">
        <v>0</v>
      </c>
      <c r="M68" s="302">
        <v>0</v>
      </c>
      <c r="N68" s="302">
        <v>0</v>
      </c>
      <c r="O68" s="302">
        <v>0</v>
      </c>
      <c r="P68" s="302">
        <v>0</v>
      </c>
      <c r="Q68" s="302">
        <v>0</v>
      </c>
      <c r="R68" s="302">
        <v>0</v>
      </c>
      <c r="S68" s="302">
        <v>0</v>
      </c>
      <c r="T68" s="302">
        <v>0</v>
      </c>
      <c r="U68" s="302">
        <v>0</v>
      </c>
      <c r="V68" s="302">
        <v>0</v>
      </c>
      <c r="W68" s="302">
        <v>0</v>
      </c>
      <c r="X68" s="302">
        <v>0</v>
      </c>
      <c r="Y68" s="302" t="str">
        <f t="shared" si="79"/>
        <v>-</v>
      </c>
      <c r="Z68" s="302"/>
      <c r="AB68" s="302">
        <v>0</v>
      </c>
      <c r="AC68" s="302" t="s">
        <v>17</v>
      </c>
      <c r="AD68" s="302" t="s">
        <v>17</v>
      </c>
      <c r="AE68" s="302" t="s">
        <v>17</v>
      </c>
      <c r="AF68" s="302" t="s">
        <v>17</v>
      </c>
      <c r="AG68" s="308"/>
      <c r="AH68" s="308"/>
      <c r="AI68" s="308"/>
      <c r="AK68" s="315"/>
      <c r="AL68" s="315"/>
      <c r="AM68" s="315"/>
      <c r="AN68" s="315"/>
      <c r="AO68" s="315"/>
      <c r="AP68" s="315"/>
      <c r="AQ68" s="315"/>
      <c r="AR68" s="315"/>
    </row>
    <row r="69" spans="2:44" ht="15" customHeight="1" x14ac:dyDescent="0.25">
      <c r="B69" s="38" t="s">
        <v>55</v>
      </c>
      <c r="C69" s="38"/>
      <c r="D69" s="38"/>
      <c r="E69" s="38"/>
      <c r="F69" s="38"/>
      <c r="G69" s="38"/>
      <c r="H69" s="38"/>
      <c r="I69" s="38"/>
      <c r="J69" s="38"/>
      <c r="K69" s="38"/>
      <c r="L69" s="302">
        <v>0</v>
      </c>
      <c r="M69" s="302">
        <v>0</v>
      </c>
      <c r="N69" s="302">
        <v>0</v>
      </c>
      <c r="O69" s="302">
        <v>0</v>
      </c>
      <c r="P69" s="302">
        <v>0</v>
      </c>
      <c r="Q69" s="302">
        <v>0</v>
      </c>
      <c r="R69" s="302">
        <v>0</v>
      </c>
      <c r="S69" s="302">
        <v>0</v>
      </c>
      <c r="T69" s="302">
        <v>0</v>
      </c>
      <c r="U69" s="302">
        <v>0</v>
      </c>
      <c r="V69" s="302">
        <v>200</v>
      </c>
      <c r="W69" s="302">
        <v>200</v>
      </c>
      <c r="X69" s="302">
        <v>200</v>
      </c>
      <c r="Y69" s="302" vm="530">
        <f t="shared" si="79"/>
        <v>200</v>
      </c>
      <c r="Z69" s="302"/>
      <c r="AB69" s="302" vm="91">
        <v>200</v>
      </c>
      <c r="AC69" s="302" vm="242">
        <v>200</v>
      </c>
      <c r="AD69" s="302" vm="297">
        <v>200</v>
      </c>
      <c r="AE69" s="302" vm="530">
        <v>200</v>
      </c>
      <c r="AF69" s="302" vm="617">
        <v>200</v>
      </c>
      <c r="AG69" s="308"/>
      <c r="AH69" s="308"/>
      <c r="AI69" s="308"/>
      <c r="AK69" s="315"/>
      <c r="AL69" s="315"/>
      <c r="AM69" s="315"/>
      <c r="AN69" s="315"/>
      <c r="AO69" s="315"/>
      <c r="AP69" s="315"/>
      <c r="AQ69" s="315"/>
      <c r="AR69" s="315"/>
    </row>
    <row r="70" spans="2:44" ht="15" customHeight="1" x14ac:dyDescent="0.25">
      <c r="B70" s="142" t="s">
        <v>270</v>
      </c>
      <c r="C70" s="142"/>
      <c r="D70" s="142"/>
      <c r="E70" s="142"/>
      <c r="F70" s="142"/>
      <c r="G70" s="142"/>
      <c r="H70" s="142"/>
      <c r="I70" s="142"/>
      <c r="J70" s="142"/>
      <c r="K70" s="142"/>
      <c r="L70" s="301">
        <f>L71</f>
        <v>0</v>
      </c>
      <c r="M70" s="301">
        <f t="shared" ref="M70:U70" si="90">M71</f>
        <v>0</v>
      </c>
      <c r="N70" s="301">
        <f t="shared" si="90"/>
        <v>0</v>
      </c>
      <c r="O70" s="301">
        <f t="shared" si="90"/>
        <v>0</v>
      </c>
      <c r="P70" s="301">
        <f t="shared" si="90"/>
        <v>0</v>
      </c>
      <c r="Q70" s="301">
        <f t="shared" si="90"/>
        <v>0</v>
      </c>
      <c r="R70" s="301">
        <f t="shared" si="90"/>
        <v>0</v>
      </c>
      <c r="S70" s="301">
        <f t="shared" si="90"/>
        <v>0</v>
      </c>
      <c r="T70" s="301">
        <f t="shared" si="90"/>
        <v>0</v>
      </c>
      <c r="U70" s="301">
        <f t="shared" si="90"/>
        <v>0</v>
      </c>
      <c r="V70" s="301">
        <f>V71</f>
        <v>0</v>
      </c>
      <c r="W70" s="301">
        <f>W71</f>
        <v>203.51</v>
      </c>
      <c r="X70" s="301">
        <f t="shared" ref="X70" si="91">X71</f>
        <v>203.51</v>
      </c>
      <c r="Y70" s="301" vm="408">
        <f t="shared" si="79"/>
        <v>415.90999999999991</v>
      </c>
      <c r="Z70" s="301"/>
      <c r="AB70" s="301" vm="81">
        <f t="shared" ref="AB70:AF70" si="92">AB71</f>
        <v>203.51000000000002</v>
      </c>
      <c r="AC70" s="301" vm="243">
        <f t="shared" si="92"/>
        <v>203.51000000000002</v>
      </c>
      <c r="AD70" s="301" vm="261">
        <f t="shared" si="92"/>
        <v>203.51000000000002</v>
      </c>
      <c r="AE70" s="301" vm="408">
        <f t="shared" si="92"/>
        <v>415.90999999999991</v>
      </c>
      <c r="AF70" s="301" vm="619">
        <f t="shared" si="92"/>
        <v>415.90999999999997</v>
      </c>
      <c r="AG70" s="301"/>
      <c r="AH70" s="301"/>
      <c r="AI70" s="301"/>
      <c r="AK70" s="313"/>
      <c r="AL70" s="313"/>
      <c r="AM70" s="313"/>
      <c r="AN70" s="313"/>
      <c r="AO70" s="313"/>
      <c r="AP70" s="313"/>
      <c r="AQ70" s="313"/>
      <c r="AR70" s="313"/>
    </row>
    <row r="71" spans="2:44" ht="15" customHeight="1" x14ac:dyDescent="0.25">
      <c r="B71" s="38" t="s">
        <v>39</v>
      </c>
      <c r="C71" s="38"/>
      <c r="D71" s="38"/>
      <c r="E71" s="38"/>
      <c r="F71" s="38"/>
      <c r="G71" s="38"/>
      <c r="H71" s="38"/>
      <c r="I71" s="38"/>
      <c r="J71" s="38"/>
      <c r="K71" s="38"/>
      <c r="L71" s="302">
        <v>0</v>
      </c>
      <c r="M71" s="302">
        <v>0</v>
      </c>
      <c r="N71" s="302">
        <v>0</v>
      </c>
      <c r="O71" s="302">
        <v>0</v>
      </c>
      <c r="P71" s="302">
        <v>0</v>
      </c>
      <c r="Q71" s="302">
        <v>0</v>
      </c>
      <c r="R71" s="302">
        <v>0</v>
      </c>
      <c r="S71" s="302">
        <v>0</v>
      </c>
      <c r="T71" s="302">
        <v>0</v>
      </c>
      <c r="U71" s="302">
        <v>0</v>
      </c>
      <c r="V71" s="302">
        <v>0</v>
      </c>
      <c r="W71" s="302">
        <v>203.51</v>
      </c>
      <c r="X71" s="302">
        <v>203.51</v>
      </c>
      <c r="Y71" s="302" vm="408">
        <f t="shared" si="79"/>
        <v>415.90999999999991</v>
      </c>
      <c r="Z71" s="302"/>
      <c r="AB71" s="302" vm="81">
        <v>203.51000000000002</v>
      </c>
      <c r="AC71" s="302" vm="243">
        <v>203.51000000000002</v>
      </c>
      <c r="AD71" s="302" vm="261">
        <v>203.51000000000002</v>
      </c>
      <c r="AE71" s="302" vm="408">
        <v>415.90999999999991</v>
      </c>
      <c r="AF71" s="302" vm="619">
        <v>415.90999999999997</v>
      </c>
      <c r="AG71" s="308"/>
      <c r="AH71" s="308"/>
      <c r="AI71" s="308"/>
      <c r="AK71" s="315"/>
      <c r="AL71" s="315"/>
      <c r="AM71" s="315"/>
      <c r="AN71" s="315"/>
      <c r="AO71" s="315"/>
      <c r="AP71" s="315"/>
      <c r="AQ71" s="315"/>
      <c r="AR71" s="315"/>
    </row>
    <row r="72" spans="2:44" ht="15" customHeight="1" x14ac:dyDescent="0.25">
      <c r="B72" s="142" t="s">
        <v>48</v>
      </c>
      <c r="C72" s="142"/>
      <c r="D72" s="142"/>
      <c r="E72" s="142"/>
      <c r="F72" s="142"/>
      <c r="G72" s="142"/>
      <c r="H72" s="142"/>
      <c r="I72" s="142"/>
      <c r="J72" s="142"/>
      <c r="K72" s="142"/>
      <c r="L72" s="301">
        <f t="shared" ref="L72:V72" si="93">IFERROR(SUM(L73:L75),"-")</f>
        <v>0</v>
      </c>
      <c r="M72" s="301">
        <f t="shared" si="93"/>
        <v>0</v>
      </c>
      <c r="N72" s="301">
        <f t="shared" si="93"/>
        <v>0</v>
      </c>
      <c r="O72" s="301">
        <f t="shared" si="93"/>
        <v>0</v>
      </c>
      <c r="P72" s="301">
        <f t="shared" si="93"/>
        <v>0</v>
      </c>
      <c r="Q72" s="301">
        <f t="shared" si="93"/>
        <v>0</v>
      </c>
      <c r="R72" s="301">
        <f t="shared" si="93"/>
        <v>0</v>
      </c>
      <c r="S72" s="301">
        <f t="shared" si="93"/>
        <v>0</v>
      </c>
      <c r="T72" s="301">
        <f t="shared" si="93"/>
        <v>0</v>
      </c>
      <c r="U72" s="301">
        <f t="shared" si="93"/>
        <v>0</v>
      </c>
      <c r="V72" s="301">
        <f t="shared" si="93"/>
        <v>0</v>
      </c>
      <c r="W72" s="301">
        <f>IFERROR(SUM(W73:W75),"-")</f>
        <v>28</v>
      </c>
      <c r="X72" s="301">
        <f t="shared" ref="X72" si="94">IFERROR(SUM(X73:X75),"-")</f>
        <v>711.33</v>
      </c>
      <c r="Y72" s="301">
        <f>IFERROR(SUM(Y73:Y75),"-")</f>
        <v>889.61999348999973</v>
      </c>
      <c r="Z72" s="301"/>
      <c r="AB72" s="301">
        <f t="shared" ref="AB72:AC72" si="95">IFERROR(SUM(AB73:AB75),"-")</f>
        <v>736.00080560999993</v>
      </c>
      <c r="AC72" s="301">
        <f t="shared" si="95"/>
        <v>790.10570974999973</v>
      </c>
      <c r="AD72" s="301">
        <f t="shared" ref="AD72:AE72" si="96">IFERROR(SUM(AD73:AD75),"-")</f>
        <v>832.06126927999981</v>
      </c>
      <c r="AE72" s="301">
        <f t="shared" si="96"/>
        <v>889.61999348999973</v>
      </c>
      <c r="AF72" s="301">
        <f t="shared" ref="AF72" si="97">IFERROR(SUM(AF73:AF75),"-")</f>
        <v>917.44529999999975</v>
      </c>
      <c r="AG72" s="301"/>
      <c r="AH72" s="301"/>
      <c r="AI72" s="301"/>
      <c r="AK72" s="313"/>
      <c r="AL72" s="313"/>
      <c r="AM72" s="313"/>
      <c r="AN72" s="313"/>
      <c r="AO72" s="313"/>
      <c r="AP72" s="313"/>
      <c r="AQ72" s="313"/>
      <c r="AR72" s="313"/>
    </row>
    <row r="73" spans="2:44" ht="15" customHeight="1" x14ac:dyDescent="0.25">
      <c r="B73" s="38" t="s">
        <v>56</v>
      </c>
      <c r="C73" s="38"/>
      <c r="D73" s="38"/>
      <c r="E73" s="38"/>
      <c r="F73" s="38"/>
      <c r="G73" s="38"/>
      <c r="H73" s="38"/>
      <c r="I73" s="38"/>
      <c r="J73" s="38"/>
      <c r="K73" s="38"/>
      <c r="L73" s="302">
        <v>0</v>
      </c>
      <c r="M73" s="302">
        <v>0</v>
      </c>
      <c r="N73" s="302">
        <v>0</v>
      </c>
      <c r="O73" s="302">
        <v>0</v>
      </c>
      <c r="P73" s="302">
        <v>0</v>
      </c>
      <c r="Q73" s="302">
        <v>0</v>
      </c>
      <c r="R73" s="302">
        <v>0</v>
      </c>
      <c r="S73" s="302">
        <v>0</v>
      </c>
      <c r="T73" s="302">
        <v>0</v>
      </c>
      <c r="U73" s="302">
        <v>0</v>
      </c>
      <c r="V73" s="302">
        <v>0</v>
      </c>
      <c r="W73" s="302">
        <v>28</v>
      </c>
      <c r="X73" s="302">
        <v>404.63</v>
      </c>
      <c r="Y73" s="302">
        <f>AE73</f>
        <v>402.47022004000002</v>
      </c>
      <c r="Z73" s="302"/>
      <c r="AB73" s="302" vm="92">
        <v>411.80734583999998</v>
      </c>
      <c r="AC73" s="302">
        <v>411.81</v>
      </c>
      <c r="AD73" s="302" vm="300">
        <v>412.94500000000005</v>
      </c>
      <c r="AE73" s="302">
        <v>402.47022004000002</v>
      </c>
      <c r="AF73" s="302">
        <v>402.47020000000003</v>
      </c>
      <c r="AG73" s="308"/>
      <c r="AH73" s="308"/>
      <c r="AI73" s="308"/>
      <c r="AK73" s="315"/>
      <c r="AL73" s="315"/>
      <c r="AM73" s="315"/>
      <c r="AN73" s="315"/>
      <c r="AO73" s="315"/>
      <c r="AP73" s="315"/>
      <c r="AQ73" s="315"/>
      <c r="AR73" s="315"/>
    </row>
    <row r="74" spans="2:44" ht="15" customHeight="1" x14ac:dyDescent="0.25">
      <c r="B74" s="38" t="s">
        <v>273</v>
      </c>
      <c r="C74" s="38"/>
      <c r="D74" s="38"/>
      <c r="E74" s="38"/>
      <c r="F74" s="38"/>
      <c r="G74" s="38"/>
      <c r="H74" s="38"/>
      <c r="I74" s="38"/>
      <c r="J74" s="38"/>
      <c r="K74" s="38"/>
      <c r="L74" s="302">
        <v>0</v>
      </c>
      <c r="M74" s="302">
        <v>0</v>
      </c>
      <c r="N74" s="302">
        <v>0</v>
      </c>
      <c r="O74" s="302">
        <v>0</v>
      </c>
      <c r="P74" s="302">
        <v>0</v>
      </c>
      <c r="Q74" s="302">
        <v>0</v>
      </c>
      <c r="R74" s="302">
        <v>0</v>
      </c>
      <c r="S74" s="302">
        <v>0</v>
      </c>
      <c r="T74" s="302">
        <v>0</v>
      </c>
      <c r="U74" s="302">
        <v>0</v>
      </c>
      <c r="V74" s="302">
        <v>0</v>
      </c>
      <c r="W74" s="302">
        <v>0</v>
      </c>
      <c r="X74" s="302">
        <v>229.6</v>
      </c>
      <c r="Y74" s="302">
        <f>AE74</f>
        <v>314.95489431999977</v>
      </c>
      <c r="Z74" s="302"/>
      <c r="AB74" s="302" vm="93">
        <v>243.53026812999997</v>
      </c>
      <c r="AC74" s="302" vm="241">
        <v>266.56796395999982</v>
      </c>
      <c r="AD74" s="302" vm="301">
        <v>288.23356098999983</v>
      </c>
      <c r="AE74" s="302">
        <v>314.95489431999977</v>
      </c>
      <c r="AF74" s="302">
        <v>325.03509999999983</v>
      </c>
      <c r="AG74" s="308"/>
      <c r="AH74" s="308"/>
      <c r="AI74" s="308"/>
      <c r="AK74" s="315"/>
      <c r="AL74" s="315"/>
      <c r="AM74" s="315"/>
      <c r="AN74" s="315"/>
      <c r="AO74" s="315"/>
      <c r="AP74" s="315"/>
      <c r="AQ74" s="315"/>
      <c r="AR74" s="315"/>
    </row>
    <row r="75" spans="2:44" ht="15" customHeight="1" x14ac:dyDescent="0.25">
      <c r="B75" s="38" t="s">
        <v>275</v>
      </c>
      <c r="C75" s="38"/>
      <c r="D75" s="38"/>
      <c r="E75" s="38"/>
      <c r="F75" s="38"/>
      <c r="G75" s="38"/>
      <c r="H75" s="38"/>
      <c r="I75" s="38"/>
      <c r="J75" s="38"/>
      <c r="K75" s="38"/>
      <c r="L75" s="302">
        <v>0</v>
      </c>
      <c r="M75" s="302">
        <v>0</v>
      </c>
      <c r="N75" s="302">
        <v>0</v>
      </c>
      <c r="O75" s="302">
        <v>0</v>
      </c>
      <c r="P75" s="302">
        <v>0</v>
      </c>
      <c r="Q75" s="302">
        <v>0</v>
      </c>
      <c r="R75" s="302">
        <v>0</v>
      </c>
      <c r="S75" s="302">
        <v>0</v>
      </c>
      <c r="T75" s="302">
        <v>0</v>
      </c>
      <c r="U75" s="302">
        <v>0</v>
      </c>
      <c r="V75" s="302">
        <v>0</v>
      </c>
      <c r="W75" s="302">
        <v>0</v>
      </c>
      <c r="X75" s="302">
        <v>77.099999999999994</v>
      </c>
      <c r="Y75" s="302">
        <f>AE75</f>
        <v>172.19487912999998</v>
      </c>
      <c r="Z75" s="302"/>
      <c r="AB75" s="302">
        <v>80.663191640000008</v>
      </c>
      <c r="AC75" s="302">
        <v>111.72774579</v>
      </c>
      <c r="AD75" s="302">
        <v>130.88270828999998</v>
      </c>
      <c r="AE75" s="302">
        <v>172.19487912999998</v>
      </c>
      <c r="AF75" s="302">
        <v>189.93999999999994</v>
      </c>
      <c r="AG75" s="308"/>
      <c r="AH75" s="308"/>
      <c r="AI75" s="308"/>
      <c r="AK75" s="315"/>
      <c r="AL75" s="315"/>
      <c r="AM75" s="315"/>
      <c r="AN75" s="315"/>
      <c r="AO75" s="315"/>
      <c r="AP75" s="315"/>
      <c r="AQ75" s="315"/>
      <c r="AR75" s="315"/>
    </row>
    <row r="76" spans="2:44" ht="15" customHeight="1" x14ac:dyDescent="0.25">
      <c r="B76" s="20"/>
      <c r="C76" s="20"/>
      <c r="D76" s="20"/>
      <c r="E76" s="20"/>
      <c r="F76" s="20"/>
      <c r="G76" s="20"/>
      <c r="H76" s="20"/>
      <c r="I76" s="20"/>
      <c r="J76" s="20"/>
      <c r="K76" s="20"/>
      <c r="Q76" s="302"/>
      <c r="R76" s="302"/>
      <c r="S76" s="302"/>
      <c r="T76" s="302"/>
      <c r="U76" s="302"/>
      <c r="V76" s="302"/>
      <c r="W76" s="302"/>
      <c r="X76" s="302"/>
      <c r="Y76" s="302"/>
      <c r="Z76" s="302"/>
      <c r="AB76" s="302"/>
      <c r="AC76" s="302"/>
      <c r="AD76" s="302"/>
      <c r="AE76" s="302"/>
      <c r="AF76" s="302"/>
      <c r="AK76" s="315"/>
      <c r="AL76" s="315"/>
      <c r="AM76" s="315"/>
      <c r="AN76" s="315"/>
      <c r="AO76" s="315"/>
      <c r="AP76" s="315"/>
      <c r="AQ76" s="315"/>
      <c r="AR76" s="315"/>
    </row>
    <row r="77" spans="2:44" ht="15" customHeight="1" outlineLevel="1" x14ac:dyDescent="0.25">
      <c r="B77" s="150" t="s">
        <v>57</v>
      </c>
      <c r="C77" s="150"/>
      <c r="D77" s="150"/>
      <c r="E77" s="150"/>
      <c r="F77" s="150"/>
      <c r="G77" s="150"/>
      <c r="H77" s="150"/>
      <c r="I77" s="150"/>
      <c r="J77" s="150"/>
      <c r="K77" s="150"/>
      <c r="L77" s="269">
        <f t="shared" ref="L77:V77" si="98">L78+L88+L83</f>
        <v>239</v>
      </c>
      <c r="M77" s="269">
        <f t="shared" si="98"/>
        <v>325.60000000000002</v>
      </c>
      <c r="N77" s="269">
        <f t="shared" si="98"/>
        <v>389.6</v>
      </c>
      <c r="O77" s="269">
        <f t="shared" si="98"/>
        <v>808.36000000000013</v>
      </c>
      <c r="P77" s="269">
        <f t="shared" si="98"/>
        <v>886.28</v>
      </c>
      <c r="Q77" s="269">
        <f t="shared" si="98"/>
        <v>355.95</v>
      </c>
      <c r="R77" s="269">
        <f t="shared" si="98"/>
        <v>355.95</v>
      </c>
      <c r="S77" s="269">
        <f t="shared" si="98"/>
        <v>331.2</v>
      </c>
      <c r="T77" s="269">
        <f t="shared" si="98"/>
        <v>371.19</v>
      </c>
      <c r="U77" s="269">
        <f t="shared" si="98"/>
        <v>550.04</v>
      </c>
      <c r="V77" s="269">
        <f t="shared" si="98"/>
        <v>668.55</v>
      </c>
      <c r="W77" s="269">
        <f>W78+W88+W83</f>
        <v>1268.5999999999999</v>
      </c>
      <c r="X77" s="269">
        <f t="shared" ref="X77" si="99">X78+X88+X83</f>
        <v>1283.56</v>
      </c>
      <c r="Y77" s="269">
        <f t="shared" ref="Y77" si="100">Y78+Y88+Y83</f>
        <v>1069.8153753300001</v>
      </c>
      <c r="Z77" s="317"/>
      <c r="AB77" s="269">
        <f t="shared" ref="AB77:AC77" si="101">AB78+AB88+AB83</f>
        <v>1283.5701585216998</v>
      </c>
      <c r="AC77" s="269">
        <f t="shared" si="101"/>
        <v>1069.8153753300001</v>
      </c>
      <c r="AD77" s="269">
        <f t="shared" ref="AD77:AE77" si="102">AD78+AD88+AD83</f>
        <v>1069.8153753300001</v>
      </c>
      <c r="AE77" s="269">
        <f t="shared" si="102"/>
        <v>1069.8153753300001</v>
      </c>
      <c r="AF77" s="269">
        <f>AF78+AF88+AF83</f>
        <v>1197.2154</v>
      </c>
      <c r="AG77" s="317"/>
      <c r="AH77" s="317"/>
      <c r="AI77" s="317"/>
      <c r="AK77" s="317"/>
      <c r="AL77" s="317"/>
      <c r="AM77" s="317"/>
      <c r="AN77" s="317"/>
      <c r="AO77" s="317"/>
      <c r="AP77" s="317"/>
      <c r="AQ77" s="317"/>
      <c r="AR77" s="317"/>
    </row>
    <row r="78" spans="2:44" ht="15" customHeight="1" outlineLevel="1" x14ac:dyDescent="0.25">
      <c r="B78" s="32" t="s">
        <v>253</v>
      </c>
      <c r="C78" s="32"/>
      <c r="D78" s="32"/>
      <c r="E78" s="32"/>
      <c r="F78" s="32"/>
      <c r="G78" s="32"/>
      <c r="H78" s="32"/>
      <c r="I78" s="32"/>
      <c r="J78" s="32"/>
      <c r="K78" s="32"/>
      <c r="L78" s="260">
        <f t="shared" ref="L78:U78" si="103">SUM(L79:L81)</f>
        <v>239</v>
      </c>
      <c r="M78" s="260">
        <f t="shared" si="103"/>
        <v>325.60000000000002</v>
      </c>
      <c r="N78" s="260">
        <f t="shared" si="103"/>
        <v>389.6</v>
      </c>
      <c r="O78" s="260">
        <f t="shared" si="103"/>
        <v>808.36000000000013</v>
      </c>
      <c r="P78" s="260">
        <f t="shared" si="103"/>
        <v>886.28</v>
      </c>
      <c r="Q78" s="260">
        <f t="shared" si="103"/>
        <v>355.95</v>
      </c>
      <c r="R78" s="260">
        <f t="shared" si="103"/>
        <v>355.95</v>
      </c>
      <c r="S78" s="260">
        <f t="shared" si="103"/>
        <v>331.2</v>
      </c>
      <c r="T78" s="260">
        <f t="shared" si="103"/>
        <v>371.19</v>
      </c>
      <c r="U78" s="260">
        <f t="shared" si="103"/>
        <v>411.03999999999996</v>
      </c>
      <c r="V78" s="260">
        <f>SUM(V79:V81)</f>
        <v>518.79999999999995</v>
      </c>
      <c r="W78" s="260">
        <f>SUM(W79:W81)</f>
        <v>767.39</v>
      </c>
      <c r="X78" s="260">
        <f t="shared" ref="X78" si="104">SUM(X79:X81)</f>
        <v>767.39</v>
      </c>
      <c r="Y78" s="260">
        <f>AE78</f>
        <v>552.83451211600004</v>
      </c>
      <c r="Z78" s="260"/>
      <c r="AB78" s="260">
        <f t="shared" ref="AB78:AC78" si="105">SUM(AB79:AB81)</f>
        <v>767.39099211599989</v>
      </c>
      <c r="AC78" s="260">
        <f t="shared" si="105"/>
        <v>552.83451211600004</v>
      </c>
      <c r="AD78" s="260">
        <f t="shared" ref="AD78:AE78" si="106">SUM(AD79:AD81)</f>
        <v>552.83451211600004</v>
      </c>
      <c r="AE78" s="260">
        <f t="shared" si="106"/>
        <v>552.83451211600004</v>
      </c>
      <c r="AF78" s="260">
        <f>SUM(AF79:AF82)</f>
        <v>612.25450000000001</v>
      </c>
      <c r="AG78" s="260"/>
      <c r="AH78" s="260"/>
      <c r="AI78" s="260"/>
      <c r="AK78" s="317"/>
      <c r="AL78" s="317"/>
      <c r="AM78" s="317"/>
      <c r="AN78" s="317"/>
      <c r="AO78" s="317"/>
      <c r="AP78" s="317"/>
      <c r="AQ78" s="317"/>
      <c r="AR78" s="317"/>
    </row>
    <row r="79" spans="2:44" ht="15" customHeight="1" outlineLevel="1" x14ac:dyDescent="0.25">
      <c r="B79" s="9" t="s">
        <v>51</v>
      </c>
      <c r="C79" s="9"/>
      <c r="D79" s="9"/>
      <c r="E79" s="9"/>
      <c r="F79" s="9"/>
      <c r="G79" s="9"/>
      <c r="H79" s="9"/>
      <c r="I79" s="9"/>
      <c r="J79" s="9"/>
      <c r="K79" s="9"/>
      <c r="L79" s="302">
        <v>239</v>
      </c>
      <c r="M79" s="302">
        <v>325.60000000000002</v>
      </c>
      <c r="N79" s="302">
        <v>389.6</v>
      </c>
      <c r="O79" s="302">
        <v>455.12</v>
      </c>
      <c r="P79" s="302">
        <v>533.04</v>
      </c>
      <c r="Q79" s="302">
        <v>0</v>
      </c>
      <c r="R79" s="302">
        <v>0</v>
      </c>
      <c r="S79" s="302">
        <v>0</v>
      </c>
      <c r="T79" s="302">
        <v>0</v>
      </c>
      <c r="U79" s="302">
        <v>0</v>
      </c>
      <c r="V79" s="302">
        <v>20</v>
      </c>
      <c r="W79" s="302">
        <v>19.8</v>
      </c>
      <c r="X79" s="302">
        <v>19.8</v>
      </c>
      <c r="Y79" s="302" vm="421">
        <f>+AE79</f>
        <v>19.799999999999997</v>
      </c>
      <c r="Z79" s="302"/>
      <c r="AB79" s="302">
        <v>19.799999999999997</v>
      </c>
      <c r="AC79" s="302" vm="380">
        <v>19.799999999999997</v>
      </c>
      <c r="AD79" s="302" vm="302">
        <v>19.799999999999997</v>
      </c>
      <c r="AE79" s="302" vm="421">
        <v>19.799999999999997</v>
      </c>
      <c r="AF79" s="302">
        <v>19.799999999999997</v>
      </c>
      <c r="AG79" s="308"/>
      <c r="AH79" s="308"/>
      <c r="AI79" s="308"/>
      <c r="AK79" s="315"/>
      <c r="AL79" s="315"/>
      <c r="AM79" s="315"/>
      <c r="AN79" s="315"/>
      <c r="AO79" s="315"/>
      <c r="AP79" s="315"/>
      <c r="AQ79" s="315"/>
      <c r="AR79" s="315"/>
    </row>
    <row r="80" spans="2:44" ht="15" customHeight="1" outlineLevel="1" x14ac:dyDescent="0.25">
      <c r="B80" s="9" t="s">
        <v>50</v>
      </c>
      <c r="C80" s="9"/>
      <c r="D80" s="9"/>
      <c r="E80" s="9"/>
      <c r="F80" s="9"/>
      <c r="G80" s="9"/>
      <c r="H80" s="9"/>
      <c r="I80" s="9"/>
      <c r="J80" s="9"/>
      <c r="K80" s="9"/>
      <c r="L80" s="302">
        <v>0</v>
      </c>
      <c r="M80" s="302">
        <v>0</v>
      </c>
      <c r="N80" s="302">
        <v>0</v>
      </c>
      <c r="O80" s="302">
        <v>173.8</v>
      </c>
      <c r="P80" s="302">
        <v>173.8</v>
      </c>
      <c r="Q80" s="302">
        <v>176.51</v>
      </c>
      <c r="R80" s="302">
        <v>176.51</v>
      </c>
      <c r="S80" s="302">
        <v>151.76</v>
      </c>
      <c r="T80" s="302">
        <v>151.76</v>
      </c>
      <c r="U80" s="302">
        <v>151.76</v>
      </c>
      <c r="V80" s="302">
        <v>166.9</v>
      </c>
      <c r="W80" s="302">
        <v>155.69</v>
      </c>
      <c r="X80" s="302">
        <v>155.69</v>
      </c>
      <c r="Y80" s="302" vm="544">
        <f>AE80</f>
        <v>120.132012116</v>
      </c>
      <c r="Z80" s="302"/>
      <c r="AB80" s="302" vm="95">
        <v>155.68849211599999</v>
      </c>
      <c r="AC80" s="302" vm="450">
        <v>120.132012116</v>
      </c>
      <c r="AD80" s="302" vm="304">
        <v>120.132012116</v>
      </c>
      <c r="AE80" s="302" vm="544">
        <v>120.132012116</v>
      </c>
      <c r="AF80" s="302" vm="568">
        <v>120.13200000000001</v>
      </c>
      <c r="AG80" s="308"/>
      <c r="AH80" s="308"/>
      <c r="AI80" s="308"/>
      <c r="AK80" s="315"/>
      <c r="AL80" s="315"/>
      <c r="AM80" s="315"/>
      <c r="AN80" s="315"/>
      <c r="AO80" s="315"/>
      <c r="AP80" s="315"/>
      <c r="AQ80" s="315"/>
      <c r="AR80" s="315"/>
    </row>
    <row r="81" spans="2:44" ht="15" customHeight="1" outlineLevel="1" x14ac:dyDescent="0.25">
      <c r="B81" s="9" t="s">
        <v>53</v>
      </c>
      <c r="C81" s="9"/>
      <c r="D81" s="9"/>
      <c r="E81" s="9"/>
      <c r="F81" s="9"/>
      <c r="G81" s="9"/>
      <c r="H81" s="9"/>
      <c r="I81" s="9"/>
      <c r="J81" s="9"/>
      <c r="K81" s="9"/>
      <c r="L81" s="302">
        <v>0</v>
      </c>
      <c r="M81" s="302">
        <v>0</v>
      </c>
      <c r="N81" s="302">
        <v>0</v>
      </c>
      <c r="O81" s="302">
        <v>179.44</v>
      </c>
      <c r="P81" s="302">
        <v>179.44</v>
      </c>
      <c r="Q81" s="302">
        <v>179.44</v>
      </c>
      <c r="R81" s="302">
        <v>179.44</v>
      </c>
      <c r="S81" s="302">
        <v>179.44</v>
      </c>
      <c r="T81" s="302">
        <v>219.43</v>
      </c>
      <c r="U81" s="302">
        <v>259.27999999999997</v>
      </c>
      <c r="V81" s="302">
        <v>331.9</v>
      </c>
      <c r="W81" s="302">
        <v>591.9</v>
      </c>
      <c r="X81" s="302">
        <v>591.9</v>
      </c>
      <c r="Y81" s="302" vm="545">
        <f>AE81</f>
        <v>412.90249999999997</v>
      </c>
      <c r="Z81" s="302"/>
      <c r="AB81" s="302">
        <v>591.90249999999992</v>
      </c>
      <c r="AC81" s="302" vm="451">
        <v>412.90249999999997</v>
      </c>
      <c r="AD81" s="302" vm="305">
        <v>412.90249999999997</v>
      </c>
      <c r="AE81" s="302" vm="545">
        <v>412.90249999999997</v>
      </c>
      <c r="AF81" s="302" vm="607">
        <v>412.90250000000003</v>
      </c>
      <c r="AG81" s="308"/>
      <c r="AH81" s="308"/>
      <c r="AI81" s="308"/>
      <c r="AK81" s="315"/>
      <c r="AL81" s="315"/>
      <c r="AM81" s="315"/>
      <c r="AN81" s="315"/>
      <c r="AO81" s="315"/>
      <c r="AP81" s="315"/>
      <c r="AQ81" s="315"/>
      <c r="AR81" s="315"/>
    </row>
    <row r="82" spans="2:44" ht="15" customHeight="1" outlineLevel="1" x14ac:dyDescent="0.25">
      <c r="B82" s="9" t="s">
        <v>337</v>
      </c>
      <c r="C82" s="9"/>
      <c r="D82" s="9"/>
      <c r="E82" s="9"/>
      <c r="F82" s="9"/>
      <c r="G82" s="9"/>
      <c r="H82" s="9"/>
      <c r="I82" s="9"/>
      <c r="J82" s="9"/>
      <c r="K82" s="9"/>
      <c r="L82" s="302"/>
      <c r="M82" s="302"/>
      <c r="N82" s="302"/>
      <c r="O82" s="302"/>
      <c r="P82" s="302"/>
      <c r="Q82" s="302"/>
      <c r="R82" s="302"/>
      <c r="S82" s="302"/>
      <c r="T82" s="302"/>
      <c r="U82" s="302"/>
      <c r="V82" s="302"/>
      <c r="W82" s="302"/>
      <c r="X82" s="302"/>
      <c r="Y82" s="302"/>
      <c r="Z82" s="302"/>
      <c r="AB82" s="302"/>
      <c r="AC82" s="302"/>
      <c r="AD82" s="302"/>
      <c r="AE82" s="302"/>
      <c r="AF82" s="302" vm="605">
        <v>59.42</v>
      </c>
      <c r="AG82" s="308"/>
      <c r="AH82" s="308"/>
      <c r="AI82" s="308"/>
      <c r="AK82" s="315"/>
      <c r="AL82" s="315"/>
      <c r="AM82" s="315"/>
      <c r="AN82" s="315"/>
      <c r="AO82" s="315"/>
      <c r="AP82" s="315"/>
      <c r="AQ82" s="315"/>
      <c r="AR82" s="315"/>
    </row>
    <row r="83" spans="2:44" ht="15" customHeight="1" outlineLevel="1" x14ac:dyDescent="0.25">
      <c r="B83" s="32" t="s">
        <v>255</v>
      </c>
      <c r="C83" s="9"/>
      <c r="D83" s="9"/>
      <c r="E83" s="9"/>
      <c r="F83" s="9"/>
      <c r="G83" s="9"/>
      <c r="H83" s="9"/>
      <c r="I83" s="9"/>
      <c r="J83" s="9"/>
      <c r="K83" s="9"/>
      <c r="L83" s="260">
        <f>SUM(L84:L86)</f>
        <v>0</v>
      </c>
      <c r="M83" s="260">
        <f t="shared" ref="M83:U83" si="107">SUM(M84:M86)</f>
        <v>0</v>
      </c>
      <c r="N83" s="260">
        <f t="shared" si="107"/>
        <v>0</v>
      </c>
      <c r="O83" s="260">
        <f t="shared" si="107"/>
        <v>0</v>
      </c>
      <c r="P83" s="260">
        <f t="shared" si="107"/>
        <v>0</v>
      </c>
      <c r="Q83" s="260">
        <f t="shared" si="107"/>
        <v>0</v>
      </c>
      <c r="R83" s="260">
        <f t="shared" si="107"/>
        <v>0</v>
      </c>
      <c r="S83" s="260">
        <f t="shared" si="107"/>
        <v>0</v>
      </c>
      <c r="T83" s="260">
        <f t="shared" si="107"/>
        <v>0</v>
      </c>
      <c r="U83" s="260">
        <f t="shared" si="107"/>
        <v>0</v>
      </c>
      <c r="V83" s="260">
        <f>SUM(V84:V86)</f>
        <v>10.75</v>
      </c>
      <c r="W83" s="260">
        <f>SUM(W84:W86)</f>
        <v>322.21000000000004</v>
      </c>
      <c r="X83" s="260">
        <f t="shared" ref="X83" si="108">SUM(X84:X86)</f>
        <v>322.21000000000004</v>
      </c>
      <c r="Y83" s="260">
        <f t="shared" ref="Y83" si="109">SUM(Y84:Y86)</f>
        <v>322.22908987599999</v>
      </c>
      <c r="Z83" s="260"/>
      <c r="AB83" s="260">
        <f t="shared" ref="AB83:AC83" si="110">SUM(AB84:AB86)</f>
        <v>322.21563307600002</v>
      </c>
      <c r="AC83" s="260">
        <f t="shared" si="110"/>
        <v>322.22908987599999</v>
      </c>
      <c r="AD83" s="260">
        <f t="shared" ref="AD83:AE83" si="111">SUM(AD84:AD86)</f>
        <v>322.22908987599999</v>
      </c>
      <c r="AE83" s="260">
        <f t="shared" si="111"/>
        <v>322.22908987599999</v>
      </c>
      <c r="AF83" s="260">
        <f t="shared" ref="AF83" si="112">SUM(AF84:AF86)</f>
        <v>322.22910000000002</v>
      </c>
      <c r="AG83" s="260"/>
      <c r="AH83" s="260"/>
      <c r="AI83" s="260"/>
      <c r="AK83" s="315"/>
      <c r="AL83" s="315"/>
      <c r="AM83" s="315"/>
      <c r="AN83" s="315"/>
      <c r="AO83" s="315"/>
      <c r="AP83" s="315"/>
      <c r="AQ83" s="315"/>
      <c r="AR83" s="315"/>
    </row>
    <row r="84" spans="2:44" ht="15" customHeight="1" outlineLevel="1" x14ac:dyDescent="0.25">
      <c r="B84" s="9" t="s">
        <v>51</v>
      </c>
      <c r="C84" s="9"/>
      <c r="D84" s="9"/>
      <c r="E84" s="9"/>
      <c r="F84" s="9"/>
      <c r="G84" s="9"/>
      <c r="H84" s="9"/>
      <c r="I84" s="9"/>
      <c r="J84" s="9"/>
      <c r="K84" s="9"/>
      <c r="L84" s="302">
        <v>0</v>
      </c>
      <c r="M84" s="302">
        <v>0</v>
      </c>
      <c r="N84" s="302">
        <v>0</v>
      </c>
      <c r="O84" s="302">
        <v>0</v>
      </c>
      <c r="P84" s="302">
        <v>0</v>
      </c>
      <c r="Q84" s="302">
        <v>0</v>
      </c>
      <c r="R84" s="302">
        <v>0</v>
      </c>
      <c r="S84" s="302">
        <v>0</v>
      </c>
      <c r="T84" s="302">
        <v>0</v>
      </c>
      <c r="U84" s="302">
        <v>0</v>
      </c>
      <c r="V84" s="302">
        <v>10.75</v>
      </c>
      <c r="W84" s="302">
        <v>10.75</v>
      </c>
      <c r="X84" s="302">
        <v>10.75</v>
      </c>
      <c r="Y84" s="302" vm="422">
        <f>+AE84</f>
        <v>10.766589875999999</v>
      </c>
      <c r="Z84" s="302"/>
      <c r="AB84" s="302" vm="94">
        <v>10.753133075999999</v>
      </c>
      <c r="AC84" s="302" vm="449">
        <v>10.766589875999999</v>
      </c>
      <c r="AD84" s="302" vm="303">
        <v>10.766589875999999</v>
      </c>
      <c r="AE84" s="302" vm="422">
        <v>10.766589875999999</v>
      </c>
      <c r="AF84" s="302" vm="608">
        <v>10.7666</v>
      </c>
      <c r="AG84" s="308"/>
      <c r="AH84" s="308"/>
      <c r="AI84" s="308"/>
      <c r="AK84" s="315"/>
      <c r="AL84" s="315"/>
      <c r="AM84" s="315"/>
      <c r="AN84" s="315"/>
      <c r="AO84" s="315"/>
      <c r="AP84" s="315"/>
      <c r="AQ84" s="315"/>
      <c r="AR84" s="315"/>
    </row>
    <row r="85" spans="2:44" ht="15" customHeight="1" outlineLevel="1" x14ac:dyDescent="0.25">
      <c r="B85" s="9" t="s">
        <v>58</v>
      </c>
      <c r="C85" s="9"/>
      <c r="D85" s="9"/>
      <c r="E85" s="9"/>
      <c r="F85" s="9"/>
      <c r="G85" s="9"/>
      <c r="H85" s="9"/>
      <c r="I85" s="9"/>
      <c r="J85" s="9"/>
      <c r="K85" s="30">
        <v>0</v>
      </c>
      <c r="L85" s="302">
        <v>0</v>
      </c>
      <c r="M85" s="302">
        <v>0</v>
      </c>
      <c r="N85" s="302">
        <v>0</v>
      </c>
      <c r="O85" s="302">
        <v>0</v>
      </c>
      <c r="P85" s="302">
        <v>0</v>
      </c>
      <c r="Q85" s="302">
        <v>0</v>
      </c>
      <c r="R85" s="302">
        <v>0</v>
      </c>
      <c r="S85" s="302">
        <v>0</v>
      </c>
      <c r="T85" s="302">
        <v>0</v>
      </c>
      <c r="U85" s="302">
        <v>0</v>
      </c>
      <c r="V85" s="302">
        <v>0</v>
      </c>
      <c r="W85" s="302">
        <v>42.61</v>
      </c>
      <c r="X85" s="302">
        <v>42.61</v>
      </c>
      <c r="Y85" s="302" vm="547">
        <f>AE85</f>
        <v>42.612499999999997</v>
      </c>
      <c r="Z85" s="302"/>
      <c r="AB85" s="302" vm="96">
        <v>42.612499999999997</v>
      </c>
      <c r="AC85" s="302" vm="382">
        <v>42.612499999999997</v>
      </c>
      <c r="AD85" s="302" vm="307">
        <v>42.612499999999997</v>
      </c>
      <c r="AE85" s="302" vm="547">
        <v>42.612499999999997</v>
      </c>
      <c r="AF85" s="302" vm="574">
        <v>42.612499999999997</v>
      </c>
      <c r="AG85" s="308"/>
      <c r="AH85" s="308"/>
      <c r="AI85" s="308"/>
      <c r="AK85" s="315"/>
      <c r="AL85" s="315"/>
      <c r="AM85" s="315"/>
      <c r="AN85" s="315"/>
      <c r="AO85" s="315"/>
      <c r="AP85" s="315"/>
      <c r="AQ85" s="315"/>
      <c r="AR85" s="315"/>
    </row>
    <row r="86" spans="2:44" ht="15" customHeight="1" outlineLevel="1" x14ac:dyDescent="0.25">
      <c r="B86" s="9" t="s">
        <v>254</v>
      </c>
      <c r="C86" s="9"/>
      <c r="D86" s="9"/>
      <c r="E86" s="9"/>
      <c r="F86" s="9"/>
      <c r="G86" s="9"/>
      <c r="H86" s="9"/>
      <c r="I86" s="9"/>
      <c r="J86" s="9"/>
      <c r="K86" s="9"/>
      <c r="L86" s="302">
        <v>0</v>
      </c>
      <c r="M86" s="302">
        <v>0</v>
      </c>
      <c r="N86" s="302">
        <v>0</v>
      </c>
      <c r="O86" s="302">
        <v>0</v>
      </c>
      <c r="P86" s="302">
        <v>0</v>
      </c>
      <c r="Q86" s="302">
        <v>0</v>
      </c>
      <c r="R86" s="302">
        <v>0</v>
      </c>
      <c r="S86" s="302">
        <v>0</v>
      </c>
      <c r="T86" s="302">
        <v>0</v>
      </c>
      <c r="U86" s="302">
        <v>0</v>
      </c>
      <c r="V86" s="302">
        <v>0</v>
      </c>
      <c r="W86" s="302">
        <v>268.85000000000002</v>
      </c>
      <c r="X86" s="302">
        <v>268.85000000000002</v>
      </c>
      <c r="Y86" s="302" vm="423">
        <f>+AE86</f>
        <v>268.85000000000002</v>
      </c>
      <c r="Z86" s="302"/>
      <c r="AB86" s="302" vm="97">
        <v>268.85000000000002</v>
      </c>
      <c r="AC86" s="302" vm="452">
        <v>268.85000000000002</v>
      </c>
      <c r="AD86" s="302" vm="307">
        <v>268.85000000000002</v>
      </c>
      <c r="AE86" s="302" vm="423">
        <v>268.85000000000002</v>
      </c>
      <c r="AF86" s="302" vm="620">
        <v>268.85000000000002</v>
      </c>
      <c r="AG86" s="308"/>
      <c r="AH86" s="308"/>
      <c r="AI86" s="308"/>
      <c r="AK86" s="315"/>
      <c r="AL86" s="315"/>
      <c r="AM86" s="315"/>
      <c r="AN86" s="315"/>
      <c r="AO86" s="315"/>
      <c r="AP86" s="315"/>
      <c r="AQ86" s="315"/>
      <c r="AR86" s="315"/>
    </row>
    <row r="87" spans="2:44" ht="15" customHeight="1" outlineLevel="1" x14ac:dyDescent="0.25">
      <c r="B87" s="32"/>
      <c r="C87" s="32"/>
      <c r="D87" s="32"/>
      <c r="E87" s="32"/>
      <c r="F87" s="32"/>
      <c r="G87" s="32"/>
      <c r="H87" s="32"/>
      <c r="I87" s="32"/>
      <c r="J87" s="32"/>
      <c r="K87" s="32"/>
      <c r="L87" s="251"/>
      <c r="M87" s="251"/>
      <c r="N87" s="251"/>
      <c r="O87" s="251"/>
      <c r="P87" s="251"/>
      <c r="Q87" s="301"/>
      <c r="R87" s="301"/>
      <c r="S87" s="301"/>
      <c r="T87" s="301"/>
      <c r="U87" s="301"/>
      <c r="V87" s="301"/>
      <c r="W87" s="301"/>
      <c r="X87" s="301"/>
      <c r="Y87" s="301"/>
      <c r="Z87" s="301"/>
      <c r="AB87" s="301"/>
      <c r="AC87" s="301"/>
      <c r="AD87" s="301"/>
      <c r="AE87" s="301"/>
      <c r="AF87" s="301"/>
      <c r="AG87" s="341"/>
      <c r="AH87" s="341"/>
      <c r="AI87" s="341"/>
      <c r="AK87" s="313"/>
      <c r="AL87" s="313"/>
      <c r="AM87" s="313"/>
      <c r="AN87" s="313"/>
      <c r="AO87" s="313"/>
      <c r="AP87" s="313"/>
      <c r="AQ87" s="313"/>
      <c r="AR87" s="313"/>
    </row>
    <row r="88" spans="2:44" ht="15" customHeight="1" outlineLevel="1" x14ac:dyDescent="0.25">
      <c r="B88" s="32" t="s">
        <v>47</v>
      </c>
      <c r="C88" s="32"/>
      <c r="D88" s="32"/>
      <c r="E88" s="32"/>
      <c r="F88" s="32"/>
      <c r="G88" s="32"/>
      <c r="H88" s="32"/>
      <c r="I88" s="32"/>
      <c r="J88" s="32"/>
      <c r="K88" s="32"/>
      <c r="L88" s="318">
        <f>L89</f>
        <v>0</v>
      </c>
      <c r="M88" s="318">
        <f t="shared" ref="M88:T88" si="113">M89</f>
        <v>0</v>
      </c>
      <c r="N88" s="318">
        <f t="shared" si="113"/>
        <v>0</v>
      </c>
      <c r="O88" s="318">
        <f t="shared" si="113"/>
        <v>0</v>
      </c>
      <c r="P88" s="318">
        <f t="shared" si="113"/>
        <v>0</v>
      </c>
      <c r="Q88" s="318">
        <f t="shared" si="113"/>
        <v>0</v>
      </c>
      <c r="R88" s="318">
        <f t="shared" si="113"/>
        <v>0</v>
      </c>
      <c r="S88" s="318">
        <f t="shared" si="113"/>
        <v>0</v>
      </c>
      <c r="T88" s="318">
        <f t="shared" si="113"/>
        <v>0</v>
      </c>
      <c r="U88" s="244">
        <f>SUM(U89:U90)</f>
        <v>139</v>
      </c>
      <c r="V88" s="244">
        <f>SUM(V89:V90)</f>
        <v>139</v>
      </c>
      <c r="W88" s="244">
        <f>SUM(W89:W90)</f>
        <v>179</v>
      </c>
      <c r="X88" s="244">
        <f t="shared" ref="X88" si="114">SUM(X89:X90)</f>
        <v>193.96</v>
      </c>
      <c r="Y88" s="244">
        <f>SUM(Y89:Y90)</f>
        <v>194.75177333799999</v>
      </c>
      <c r="Z88" s="244"/>
      <c r="AB88" s="244">
        <f t="shared" ref="AB88:AC88" si="115">SUM(AB89:AB90)</f>
        <v>193.9635333297</v>
      </c>
      <c r="AC88" s="244">
        <f t="shared" si="115"/>
        <v>194.75177333799999</v>
      </c>
      <c r="AD88" s="244">
        <f t="shared" ref="AD88:AE88" si="116">SUM(AD89:AD90)</f>
        <v>194.75177333799999</v>
      </c>
      <c r="AE88" s="244">
        <f t="shared" si="116"/>
        <v>194.75177333799999</v>
      </c>
      <c r="AF88" s="244">
        <f t="shared" ref="AF88" si="117">SUM(AF89:AF90)</f>
        <v>262.73180000000002</v>
      </c>
      <c r="AG88" s="244"/>
      <c r="AH88" s="244"/>
      <c r="AI88" s="244"/>
      <c r="AK88" s="319"/>
      <c r="AL88" s="319"/>
      <c r="AM88" s="319"/>
      <c r="AN88" s="319"/>
      <c r="AO88" s="319"/>
      <c r="AP88" s="319"/>
      <c r="AQ88" s="319"/>
      <c r="AR88" s="319"/>
    </row>
    <row r="89" spans="2:44" ht="15" customHeight="1" outlineLevel="1" x14ac:dyDescent="0.25">
      <c r="B89" s="210" t="s">
        <v>53</v>
      </c>
      <c r="C89" s="210"/>
      <c r="D89" s="210"/>
      <c r="E89" s="210"/>
      <c r="F89" s="210"/>
      <c r="G89" s="210"/>
      <c r="H89" s="210"/>
      <c r="I89" s="210"/>
      <c r="J89" s="210"/>
      <c r="K89" s="210"/>
      <c r="L89" s="320">
        <v>0</v>
      </c>
      <c r="M89" s="320">
        <v>0</v>
      </c>
      <c r="N89" s="320">
        <v>0</v>
      </c>
      <c r="O89" s="320">
        <v>0</v>
      </c>
      <c r="P89" s="320">
        <v>0</v>
      </c>
      <c r="Q89" s="320">
        <v>0</v>
      </c>
      <c r="R89" s="320">
        <v>0</v>
      </c>
      <c r="S89" s="320">
        <v>0</v>
      </c>
      <c r="T89" s="320">
        <v>0</v>
      </c>
      <c r="U89" s="320">
        <v>139</v>
      </c>
      <c r="V89" s="223">
        <v>139</v>
      </c>
      <c r="W89" s="223">
        <v>179</v>
      </c>
      <c r="X89" s="237">
        <v>179</v>
      </c>
      <c r="Y89" s="320" vm="546">
        <f>AE89</f>
        <v>179</v>
      </c>
      <c r="Z89" s="320"/>
      <c r="AB89" s="223" vm="94">
        <v>179</v>
      </c>
      <c r="AC89" s="237" vm="381">
        <v>179</v>
      </c>
      <c r="AD89" s="237" vm="306">
        <v>179</v>
      </c>
      <c r="AE89" s="237" vm="546">
        <v>179</v>
      </c>
      <c r="AF89" s="237" vm="606">
        <v>246.98000000000002</v>
      </c>
      <c r="AG89" s="237"/>
      <c r="AH89" s="237"/>
      <c r="AI89" s="237"/>
      <c r="AK89" s="321"/>
      <c r="AL89" s="321"/>
      <c r="AM89" s="321"/>
      <c r="AN89" s="321"/>
      <c r="AO89" s="321"/>
      <c r="AP89" s="321"/>
      <c r="AQ89" s="321"/>
      <c r="AR89" s="321"/>
    </row>
    <row r="90" spans="2:44" ht="15" customHeight="1" outlineLevel="1" x14ac:dyDescent="0.25">
      <c r="B90" s="210" t="s">
        <v>275</v>
      </c>
      <c r="C90" s="210"/>
      <c r="D90" s="210"/>
      <c r="E90" s="210"/>
      <c r="F90" s="210"/>
      <c r="G90" s="210"/>
      <c r="H90" s="210"/>
      <c r="I90" s="210"/>
      <c r="J90" s="210"/>
      <c r="K90" s="210"/>
      <c r="L90" s="320">
        <v>0</v>
      </c>
      <c r="M90" s="320">
        <v>0</v>
      </c>
      <c r="N90" s="320">
        <v>0</v>
      </c>
      <c r="O90" s="320">
        <v>0</v>
      </c>
      <c r="P90" s="320">
        <v>0</v>
      </c>
      <c r="Q90" s="320">
        <v>0</v>
      </c>
      <c r="R90" s="320">
        <v>0</v>
      </c>
      <c r="S90" s="320">
        <v>0</v>
      </c>
      <c r="T90" s="320">
        <v>0</v>
      </c>
      <c r="U90" s="320">
        <v>0</v>
      </c>
      <c r="V90" s="320">
        <v>0</v>
      </c>
      <c r="W90" s="320">
        <v>0</v>
      </c>
      <c r="X90" s="237">
        <v>14.96</v>
      </c>
      <c r="Y90" s="320" vm="548">
        <f>+AE90</f>
        <v>15.751773338</v>
      </c>
      <c r="Z90" s="320"/>
      <c r="AB90" s="237">
        <v>14.963533329699999</v>
      </c>
      <c r="AC90" s="237" vm="453">
        <v>15.751773338</v>
      </c>
      <c r="AD90" s="237" vm="262">
        <v>15.751773338</v>
      </c>
      <c r="AE90" s="237" vm="548">
        <v>15.751773338</v>
      </c>
      <c r="AF90" s="237">
        <v>15.751799999999999</v>
      </c>
      <c r="AG90" s="237"/>
      <c r="AH90" s="237"/>
      <c r="AI90" s="237"/>
      <c r="AK90" s="321"/>
      <c r="AL90" s="321"/>
      <c r="AM90" s="321"/>
      <c r="AN90" s="321"/>
      <c r="AO90" s="321"/>
      <c r="AP90" s="321"/>
      <c r="AQ90" s="321"/>
      <c r="AR90" s="321"/>
    </row>
    <row r="91" spans="2:44" ht="15" customHeight="1" outlineLevel="1" x14ac:dyDescent="0.25">
      <c r="B91" s="210"/>
      <c r="C91" s="210"/>
      <c r="D91" s="210"/>
      <c r="E91" s="210"/>
      <c r="F91" s="210"/>
      <c r="G91" s="210"/>
      <c r="H91" s="210"/>
      <c r="I91" s="210"/>
      <c r="J91" s="210"/>
      <c r="K91" s="210"/>
      <c r="L91" s="320"/>
      <c r="M91" s="320"/>
      <c r="N91" s="320"/>
      <c r="O91" s="320"/>
      <c r="P91" s="320"/>
      <c r="Q91" s="320"/>
      <c r="R91" s="320"/>
      <c r="S91" s="320"/>
      <c r="T91" s="320"/>
      <c r="U91" s="320"/>
      <c r="W91" s="320"/>
      <c r="Y91" s="320"/>
      <c r="Z91" s="320"/>
      <c r="AK91" s="321"/>
      <c r="AL91" s="321"/>
      <c r="AM91" s="321"/>
      <c r="AN91" s="321"/>
      <c r="AO91" s="321"/>
      <c r="AP91" s="321"/>
      <c r="AQ91" s="321"/>
      <c r="AR91" s="321"/>
    </row>
    <row r="92" spans="2:44" ht="15" customHeight="1" outlineLevel="1" x14ac:dyDescent="0.25">
      <c r="B92" s="154"/>
      <c r="C92" s="154"/>
      <c r="D92" s="154"/>
      <c r="E92" s="154"/>
      <c r="F92" s="154"/>
      <c r="G92" s="154"/>
      <c r="H92" s="154"/>
      <c r="I92" s="154"/>
      <c r="J92" s="154"/>
      <c r="K92" s="154"/>
      <c r="L92" s="322"/>
      <c r="M92" s="322"/>
      <c r="N92" s="322"/>
      <c r="O92" s="322"/>
      <c r="P92" s="322"/>
      <c r="Q92" s="322"/>
      <c r="R92" s="322"/>
      <c r="S92" s="322"/>
      <c r="T92" s="322"/>
      <c r="U92" s="322"/>
      <c r="V92" s="322"/>
      <c r="W92" s="322"/>
      <c r="X92" s="322"/>
      <c r="Y92" s="323"/>
      <c r="Z92" s="323"/>
      <c r="AA92" s="322"/>
      <c r="AB92" s="322"/>
      <c r="AC92" s="322"/>
      <c r="AD92" s="322"/>
      <c r="AE92" s="322"/>
      <c r="AF92" s="322"/>
      <c r="AG92" s="322"/>
      <c r="AH92" s="322"/>
      <c r="AI92" s="322"/>
      <c r="AJ92" s="322"/>
      <c r="AK92" s="324"/>
      <c r="AL92" s="324"/>
      <c r="AM92" s="324"/>
      <c r="AN92" s="324"/>
      <c r="AO92" s="324"/>
      <c r="AP92" s="324"/>
      <c r="AQ92" s="324"/>
      <c r="AR92" s="324"/>
    </row>
    <row r="93" spans="2:44" ht="15" customHeight="1" outlineLevel="1" x14ac:dyDescent="0.25">
      <c r="B93" s="32"/>
      <c r="C93" s="32"/>
      <c r="D93" s="32"/>
      <c r="E93" s="32"/>
      <c r="F93" s="32"/>
      <c r="G93" s="32"/>
      <c r="H93" s="32"/>
      <c r="I93" s="32"/>
      <c r="J93" s="32"/>
      <c r="K93" s="32"/>
      <c r="L93" s="251"/>
      <c r="M93" s="251"/>
      <c r="N93" s="251"/>
      <c r="O93" s="251"/>
      <c r="P93" s="251"/>
      <c r="Q93" s="301"/>
      <c r="R93" s="301"/>
      <c r="S93" s="301"/>
      <c r="T93" s="301"/>
      <c r="U93" s="301"/>
      <c r="V93" s="301"/>
      <c r="W93" s="301"/>
      <c r="X93" s="301"/>
      <c r="Y93" s="301"/>
      <c r="Z93" s="301"/>
      <c r="AB93" s="301"/>
      <c r="AC93" s="301"/>
      <c r="AD93" s="301"/>
      <c r="AE93" s="301"/>
      <c r="AF93" s="301"/>
      <c r="AG93" s="301"/>
      <c r="AH93" s="301"/>
      <c r="AI93" s="301"/>
      <c r="AK93" s="313"/>
      <c r="AL93" s="313"/>
      <c r="AM93" s="313"/>
      <c r="AN93" s="313"/>
      <c r="AO93" s="313"/>
      <c r="AP93" s="313"/>
      <c r="AQ93" s="313"/>
      <c r="AR93" s="313"/>
    </row>
    <row r="94" spans="2:44" ht="15" customHeight="1" x14ac:dyDescent="0.25">
      <c r="B94" s="39" t="s">
        <v>245</v>
      </c>
      <c r="C94" s="39"/>
      <c r="D94" s="39"/>
      <c r="E94" s="39"/>
      <c r="F94" s="39"/>
      <c r="G94" s="39"/>
      <c r="H94" s="39"/>
      <c r="I94" s="39"/>
      <c r="J94" s="39"/>
      <c r="K94" s="39"/>
      <c r="L94" s="325">
        <v>0.28999999999999998</v>
      </c>
      <c r="M94" s="325">
        <v>0.28999999999999998</v>
      </c>
      <c r="N94" s="325">
        <v>0.28999999999999998</v>
      </c>
      <c r="O94" s="325">
        <v>0.3</v>
      </c>
      <c r="P94" s="325">
        <v>0.3</v>
      </c>
      <c r="Q94" s="325">
        <v>0.28999999999999998</v>
      </c>
      <c r="R94" s="325">
        <v>0.3</v>
      </c>
      <c r="S94" s="325">
        <v>0.31</v>
      </c>
      <c r="T94" s="325">
        <v>0.3</v>
      </c>
      <c r="U94" s="325">
        <v>0.32</v>
      </c>
      <c r="V94" s="325">
        <v>0.3</v>
      </c>
      <c r="W94" s="325">
        <v>0.28999999999999998</v>
      </c>
      <c r="X94" s="325">
        <v>0.3</v>
      </c>
      <c r="Y94" s="325" vm="539">
        <f t="shared" ref="Y94:Y104" si="118">AE94</f>
        <v>0.28527737940036429</v>
      </c>
      <c r="Z94" s="325"/>
      <c r="AB94" s="325" vm="77">
        <v>0.33626263206627777</v>
      </c>
      <c r="AC94" s="325" vm="215">
        <v>0.29728615955595317</v>
      </c>
      <c r="AD94" s="325" vm="292">
        <v>0.27573337063946446</v>
      </c>
      <c r="AE94" s="325" vm="539">
        <v>0.28527737940036429</v>
      </c>
      <c r="AF94" s="325" vm="613">
        <v>0.32542342211965336</v>
      </c>
      <c r="AG94" s="325"/>
      <c r="AH94" s="325"/>
      <c r="AI94" s="325"/>
      <c r="AK94" s="326"/>
      <c r="AL94" s="326"/>
      <c r="AM94" s="326"/>
      <c r="AN94" s="326"/>
      <c r="AO94" s="326"/>
      <c r="AP94" s="326"/>
      <c r="AQ94" s="326"/>
      <c r="AR94" s="326"/>
    </row>
    <row r="95" spans="2:44" ht="15" customHeight="1" x14ac:dyDescent="0.25">
      <c r="B95" s="142" t="s">
        <v>41</v>
      </c>
      <c r="C95" s="142"/>
      <c r="D95" s="142"/>
      <c r="E95" s="142"/>
      <c r="F95" s="142"/>
      <c r="G95" s="142"/>
      <c r="H95" s="142"/>
      <c r="I95" s="142"/>
      <c r="J95" s="142"/>
      <c r="K95" s="142"/>
      <c r="L95" s="325">
        <v>0.27</v>
      </c>
      <c r="M95" s="325">
        <v>0.25</v>
      </c>
      <c r="N95" s="325">
        <v>0.26</v>
      </c>
      <c r="O95" s="325">
        <v>0.28000000000000003</v>
      </c>
      <c r="P95" s="325">
        <v>0.27</v>
      </c>
      <c r="Q95" s="325">
        <v>0.26</v>
      </c>
      <c r="R95" s="325">
        <v>0.26</v>
      </c>
      <c r="S95" s="325">
        <v>0.27</v>
      </c>
      <c r="T95" s="325">
        <v>0.26</v>
      </c>
      <c r="U95" s="325">
        <v>0.28000000000000003</v>
      </c>
      <c r="V95" s="325">
        <v>0.26</v>
      </c>
      <c r="W95" s="325">
        <v>0.26</v>
      </c>
      <c r="X95" s="325">
        <v>0.26</v>
      </c>
      <c r="Y95" s="325" vm="425">
        <f t="shared" si="118"/>
        <v>0.26321205324859354</v>
      </c>
      <c r="Z95" s="325"/>
      <c r="AB95" s="325" vm="98">
        <v>0.3215729723831095</v>
      </c>
      <c r="AC95" s="325" vm="384">
        <v>0.26804359303109049</v>
      </c>
      <c r="AD95" s="325" vm="285">
        <v>0.24735914030495981</v>
      </c>
      <c r="AE95" s="325" vm="425">
        <v>0.26321205324859354</v>
      </c>
      <c r="AF95" s="325" vm="603">
        <v>0.32921217874026948</v>
      </c>
      <c r="AG95" s="325"/>
      <c r="AH95" s="325"/>
      <c r="AI95" s="325"/>
      <c r="AK95"/>
      <c r="AL95"/>
      <c r="AM95"/>
      <c r="AN95"/>
      <c r="AO95"/>
      <c r="AP95"/>
      <c r="AQ95"/>
      <c r="AR95"/>
    </row>
    <row r="96" spans="2:44" ht="15" customHeight="1" x14ac:dyDescent="0.25">
      <c r="B96" s="38" t="s">
        <v>50</v>
      </c>
      <c r="C96" s="38"/>
      <c r="D96" s="38"/>
      <c r="E96" s="38"/>
      <c r="F96" s="38"/>
      <c r="G96" s="38"/>
      <c r="H96" s="38"/>
      <c r="I96" s="38"/>
      <c r="J96" s="38"/>
      <c r="K96" s="38"/>
      <c r="L96" s="305">
        <v>0.27</v>
      </c>
      <c r="M96" s="305">
        <v>0.25</v>
      </c>
      <c r="N96" s="305">
        <v>0.27</v>
      </c>
      <c r="O96" s="305">
        <v>0.28999999999999998</v>
      </c>
      <c r="P96" s="305">
        <v>0.28000000000000003</v>
      </c>
      <c r="Q96" s="305">
        <v>0.26</v>
      </c>
      <c r="R96" s="305">
        <v>0.26</v>
      </c>
      <c r="S96" s="305">
        <v>0.27</v>
      </c>
      <c r="T96" s="305">
        <v>0.26</v>
      </c>
      <c r="U96" s="305">
        <v>0.28000000000000003</v>
      </c>
      <c r="V96" s="305">
        <v>0.25</v>
      </c>
      <c r="W96" s="305">
        <v>0.26</v>
      </c>
      <c r="X96" s="305">
        <v>0.26</v>
      </c>
      <c r="Y96" s="305" vm="426">
        <f t="shared" si="118"/>
        <v>0.24897900934286077</v>
      </c>
      <c r="Z96" s="305"/>
      <c r="AB96" s="305" vm="99">
        <v>0.30649670284200198</v>
      </c>
      <c r="AC96" s="305" vm="385">
        <v>0.2571023614259581</v>
      </c>
      <c r="AD96" s="305" vm="265">
        <v>0.23254502942224883</v>
      </c>
      <c r="AE96" s="305" vm="426">
        <v>0.24897900934286077</v>
      </c>
      <c r="AF96" s="305" vm="570">
        <v>0.31167798326884799</v>
      </c>
      <c r="AG96" s="305"/>
      <c r="AH96" s="305"/>
      <c r="AI96" s="305"/>
      <c r="AK96"/>
      <c r="AL96"/>
      <c r="AM96"/>
      <c r="AN96"/>
      <c r="AO96"/>
      <c r="AP96"/>
      <c r="AQ96"/>
      <c r="AR96"/>
    </row>
    <row r="97" spans="2:44" ht="15" customHeight="1" x14ac:dyDescent="0.25">
      <c r="B97" s="38" t="s">
        <v>51</v>
      </c>
      <c r="C97" s="38"/>
      <c r="D97" s="38"/>
      <c r="E97" s="38"/>
      <c r="F97" s="38"/>
      <c r="G97" s="38"/>
      <c r="H97" s="38"/>
      <c r="I97" s="38"/>
      <c r="J97" s="38"/>
      <c r="K97" s="38"/>
      <c r="L97" s="305">
        <v>0.28999999999999998</v>
      </c>
      <c r="M97" s="305">
        <v>0.27</v>
      </c>
      <c r="N97" s="305">
        <v>0.27</v>
      </c>
      <c r="O97" s="305">
        <v>0.28999999999999998</v>
      </c>
      <c r="P97" s="305">
        <v>0.3</v>
      </c>
      <c r="Q97" s="305">
        <v>0.27</v>
      </c>
      <c r="R97" s="305">
        <v>0.28000000000000003</v>
      </c>
      <c r="S97" s="305">
        <v>0.27</v>
      </c>
      <c r="T97" s="305">
        <v>0.27</v>
      </c>
      <c r="U97" s="305">
        <v>0.28999999999999998</v>
      </c>
      <c r="V97" s="305">
        <v>0.26</v>
      </c>
      <c r="W97" s="305">
        <v>0.28000000000000003</v>
      </c>
      <c r="X97" s="305">
        <v>0.27</v>
      </c>
      <c r="Y97" s="305" vm="427">
        <f t="shared" si="118"/>
        <v>0.26889546935343944</v>
      </c>
      <c r="Z97" s="305"/>
      <c r="AB97" s="305" vm="100">
        <v>0.2978303253647791</v>
      </c>
      <c r="AC97" s="305" vm="150">
        <v>0.26523761691727088</v>
      </c>
      <c r="AD97" s="305" vm="266">
        <v>0.26214824691524269</v>
      </c>
      <c r="AE97" s="305" vm="427">
        <v>0.26889546935343944</v>
      </c>
      <c r="AF97" s="305" vm="621">
        <v>0.34214525115606986</v>
      </c>
      <c r="AG97" s="305"/>
      <c r="AH97" s="305"/>
      <c r="AI97" s="305"/>
      <c r="AK97"/>
      <c r="AL97"/>
      <c r="AM97"/>
      <c r="AN97"/>
      <c r="AO97"/>
      <c r="AP97"/>
      <c r="AQ97"/>
      <c r="AR97"/>
    </row>
    <row r="98" spans="2:44" ht="15" customHeight="1" x14ac:dyDescent="0.25">
      <c r="B98" s="38" t="s">
        <v>52</v>
      </c>
      <c r="C98" s="38"/>
      <c r="D98" s="38"/>
      <c r="E98" s="38"/>
      <c r="F98" s="38"/>
      <c r="G98" s="38"/>
      <c r="H98" s="38"/>
      <c r="I98" s="38"/>
      <c r="J98" s="38"/>
      <c r="K98" s="38"/>
      <c r="L98" s="305">
        <v>0.24</v>
      </c>
      <c r="M98" s="305">
        <v>0.23</v>
      </c>
      <c r="N98" s="305">
        <v>0.24</v>
      </c>
      <c r="O98" s="305">
        <v>0.24</v>
      </c>
      <c r="P98" s="305">
        <v>0.24</v>
      </c>
      <c r="Q98" s="305">
        <v>0.27</v>
      </c>
      <c r="R98" s="305">
        <v>0.25</v>
      </c>
      <c r="S98" s="305">
        <v>0.27</v>
      </c>
      <c r="T98" s="305">
        <v>0.24</v>
      </c>
      <c r="U98" s="305">
        <v>0.26</v>
      </c>
      <c r="V98" s="305">
        <v>0.27</v>
      </c>
      <c r="W98" s="305">
        <v>0.26</v>
      </c>
      <c r="X98" s="305">
        <v>0.26</v>
      </c>
      <c r="Y98" s="305" vm="428">
        <f t="shared" si="118"/>
        <v>0.27684280734801137</v>
      </c>
      <c r="Z98" s="305"/>
      <c r="AB98" s="305" vm="101">
        <v>0.35820821394623487</v>
      </c>
      <c r="AC98" s="305" vm="386">
        <v>0.28394332476575135</v>
      </c>
      <c r="AD98" s="305" vm="266">
        <v>0.25591054265185953</v>
      </c>
      <c r="AE98" s="305" vm="428">
        <v>0.27684280734801137</v>
      </c>
      <c r="AF98" s="305" vm="575">
        <v>0.34009686675498563</v>
      </c>
      <c r="AG98" s="305"/>
      <c r="AH98" s="305"/>
      <c r="AI98" s="305"/>
      <c r="AK98"/>
      <c r="AL98"/>
      <c r="AM98"/>
      <c r="AN98"/>
      <c r="AO98"/>
      <c r="AP98"/>
      <c r="AQ98"/>
      <c r="AR98"/>
    </row>
    <row r="99" spans="2:44" ht="15" customHeight="1" x14ac:dyDescent="0.25">
      <c r="B99" s="143" t="s">
        <v>3</v>
      </c>
      <c r="C99" s="143"/>
      <c r="D99" s="143"/>
      <c r="E99" s="143"/>
      <c r="F99" s="143"/>
      <c r="G99" s="143"/>
      <c r="H99" s="143"/>
      <c r="I99" s="143"/>
      <c r="J99" s="143"/>
      <c r="K99" s="143"/>
      <c r="L99" s="325">
        <v>0.32</v>
      </c>
      <c r="M99" s="325">
        <v>0.33</v>
      </c>
      <c r="N99" s="325">
        <v>0.33</v>
      </c>
      <c r="O99" s="325">
        <v>0.32</v>
      </c>
      <c r="P99" s="325">
        <v>0.33</v>
      </c>
      <c r="Q99" s="325">
        <v>0.32</v>
      </c>
      <c r="R99" s="325">
        <v>0.33</v>
      </c>
      <c r="S99" s="325">
        <v>0.35</v>
      </c>
      <c r="T99" s="325">
        <v>0.34</v>
      </c>
      <c r="U99" s="325">
        <v>0.34</v>
      </c>
      <c r="V99" s="325">
        <v>0.33</v>
      </c>
      <c r="W99" s="325">
        <v>0.31</v>
      </c>
      <c r="X99" s="325">
        <v>0.33</v>
      </c>
      <c r="Y99" s="325" vm="419">
        <f t="shared" si="118"/>
        <v>0.29832014970912651</v>
      </c>
      <c r="Z99" s="325"/>
      <c r="AB99" s="325" vm="73">
        <v>0.37091317349403086</v>
      </c>
      <c r="AC99" s="325" vm="161">
        <v>0.3296663666568132</v>
      </c>
      <c r="AD99" s="325" vm="271">
        <v>0.29413697312415343</v>
      </c>
      <c r="AE99" s="325" vm="419">
        <v>0.29832014970912651</v>
      </c>
      <c r="AF99" s="325" vm="585">
        <v>0.34963577500832971</v>
      </c>
      <c r="AG99" s="325"/>
      <c r="AH99" s="325"/>
      <c r="AI99" s="325"/>
      <c r="AK99"/>
      <c r="AL99"/>
      <c r="AM99"/>
      <c r="AN99"/>
      <c r="AO99"/>
      <c r="AP99"/>
      <c r="AQ99"/>
      <c r="AR99"/>
    </row>
    <row r="100" spans="2:44" ht="15" customHeight="1" x14ac:dyDescent="0.25">
      <c r="B100" s="38" t="s">
        <v>53</v>
      </c>
      <c r="C100" s="38"/>
      <c r="D100" s="38"/>
      <c r="E100" s="38"/>
      <c r="F100" s="38"/>
      <c r="G100" s="38"/>
      <c r="H100" s="38"/>
      <c r="I100" s="38"/>
      <c r="J100" s="38"/>
      <c r="K100" s="38"/>
      <c r="L100" s="305">
        <v>0.32</v>
      </c>
      <c r="M100" s="305">
        <v>0.33</v>
      </c>
      <c r="N100" s="305">
        <v>0.33</v>
      </c>
      <c r="O100" s="305">
        <v>0.32</v>
      </c>
      <c r="P100" s="305">
        <v>0.33</v>
      </c>
      <c r="Q100" s="305">
        <v>0.32</v>
      </c>
      <c r="R100" s="305">
        <v>0.33</v>
      </c>
      <c r="S100" s="305">
        <v>0.35</v>
      </c>
      <c r="T100" s="305">
        <v>0.34</v>
      </c>
      <c r="U100" s="305">
        <v>0.34</v>
      </c>
      <c r="V100" s="305">
        <v>0.33</v>
      </c>
      <c r="W100" s="305">
        <v>0.31</v>
      </c>
      <c r="X100" s="305">
        <v>0.33</v>
      </c>
      <c r="Y100" s="305" vm="554">
        <f t="shared" si="118"/>
        <v>0.29526330755880803</v>
      </c>
      <c r="Z100" s="305"/>
      <c r="AB100" s="305" vm="74">
        <v>0.37363530754947349</v>
      </c>
      <c r="AC100" s="305" vm="399">
        <v>0.32737707762797236</v>
      </c>
      <c r="AD100" s="305" vm="319">
        <v>0.28981645941774314</v>
      </c>
      <c r="AE100" s="305" vm="554">
        <v>0.29526330755880803</v>
      </c>
      <c r="AF100" s="305" vm="622">
        <v>0.34980274956480306</v>
      </c>
      <c r="AG100" s="305"/>
      <c r="AH100" s="305"/>
      <c r="AI100" s="305"/>
      <c r="AK100"/>
      <c r="AL100"/>
      <c r="AM100"/>
      <c r="AN100"/>
      <c r="AO100"/>
      <c r="AP100"/>
      <c r="AQ100"/>
      <c r="AR100"/>
    </row>
    <row r="101" spans="2:44" ht="15" customHeight="1" x14ac:dyDescent="0.25">
      <c r="B101" s="38" t="s">
        <v>54</v>
      </c>
      <c r="C101" s="38"/>
      <c r="D101" s="38"/>
      <c r="E101" s="38"/>
      <c r="F101" s="38"/>
      <c r="G101" s="38"/>
      <c r="H101" s="38"/>
      <c r="I101" s="38"/>
      <c r="J101" s="38"/>
      <c r="K101" s="38"/>
      <c r="L101" s="305" t="s">
        <v>17</v>
      </c>
      <c r="M101" s="305" t="s">
        <v>17</v>
      </c>
      <c r="N101" s="305" t="s">
        <v>17</v>
      </c>
      <c r="O101" s="305">
        <v>0</v>
      </c>
      <c r="P101" s="305">
        <v>0.27</v>
      </c>
      <c r="Q101" s="305">
        <v>0.27</v>
      </c>
      <c r="R101" s="305">
        <v>0.28000000000000003</v>
      </c>
      <c r="S101" s="305">
        <v>0.28000000000000003</v>
      </c>
      <c r="T101" s="305">
        <v>0.27</v>
      </c>
      <c r="U101" s="305">
        <v>0.27</v>
      </c>
      <c r="V101" s="305">
        <v>0.3</v>
      </c>
      <c r="W101" s="305">
        <v>0.28000000000000003</v>
      </c>
      <c r="X101" s="305">
        <v>0.32</v>
      </c>
      <c r="Y101" s="305" vm="538">
        <f t="shared" si="118"/>
        <v>0.26690283043616886</v>
      </c>
      <c r="Z101" s="305"/>
      <c r="AB101" s="305" vm="106">
        <v>0.28116991489987214</v>
      </c>
      <c r="AC101" s="305" vm="400">
        <v>0.2727304486764629</v>
      </c>
      <c r="AD101" s="305" vm="216">
        <v>0.24365158398231962</v>
      </c>
      <c r="AE101" s="305" vm="538">
        <v>0.26690283043616886</v>
      </c>
      <c r="AF101" s="305" vm="598">
        <v>0.25672128069193018</v>
      </c>
      <c r="AG101" s="305"/>
      <c r="AH101" s="305"/>
      <c r="AI101" s="305"/>
      <c r="AK101"/>
      <c r="AL101"/>
      <c r="AM101"/>
      <c r="AN101"/>
      <c r="AO101"/>
      <c r="AP101"/>
      <c r="AQ101"/>
      <c r="AR101"/>
    </row>
    <row r="102" spans="2:44" ht="15" customHeight="1" x14ac:dyDescent="0.25">
      <c r="B102" s="38" t="s">
        <v>55</v>
      </c>
      <c r="C102" s="38"/>
      <c r="D102" s="38"/>
      <c r="E102" s="38"/>
      <c r="F102" s="38"/>
      <c r="G102" s="38"/>
      <c r="H102" s="38"/>
      <c r="I102" s="38"/>
      <c r="J102" s="38"/>
      <c r="K102" s="38"/>
      <c r="L102" s="305" t="s">
        <v>17</v>
      </c>
      <c r="M102" s="305" t="s">
        <v>17</v>
      </c>
      <c r="N102" s="305" t="s">
        <v>17</v>
      </c>
      <c r="O102" s="305" t="s">
        <v>17</v>
      </c>
      <c r="P102" s="305" t="s">
        <v>17</v>
      </c>
      <c r="Q102" s="305" t="s">
        <v>17</v>
      </c>
      <c r="R102" s="305" t="s">
        <v>17</v>
      </c>
      <c r="S102" s="305">
        <v>0.39</v>
      </c>
      <c r="T102" s="305">
        <v>0.4</v>
      </c>
      <c r="U102" s="305">
        <v>0.42</v>
      </c>
      <c r="V102" s="305">
        <v>0.41</v>
      </c>
      <c r="W102" s="305">
        <v>0.41</v>
      </c>
      <c r="X102" s="305">
        <v>0.45</v>
      </c>
      <c r="Y102" s="305" vm="538">
        <f t="shared" si="118"/>
        <v>0.35318107027305823</v>
      </c>
      <c r="Z102" s="305"/>
      <c r="AB102" s="305" vm="107">
        <v>0.36028733149075226</v>
      </c>
      <c r="AC102" s="305" vm="401">
        <v>0.38160988704227433</v>
      </c>
      <c r="AD102" s="305" vm="320">
        <v>0.37366495768099928</v>
      </c>
      <c r="AE102" s="305" vm="538">
        <v>0.35318107027305823</v>
      </c>
      <c r="AF102" s="305" vm="599">
        <v>0.34823600759234508</v>
      </c>
      <c r="AG102" s="305"/>
      <c r="AH102" s="305"/>
      <c r="AI102" s="305"/>
      <c r="AK102"/>
      <c r="AL102"/>
      <c r="AM102"/>
      <c r="AN102"/>
      <c r="AO102"/>
      <c r="AP102"/>
      <c r="AQ102"/>
      <c r="AR102"/>
    </row>
    <row r="103" spans="2:44" ht="15" customHeight="1" x14ac:dyDescent="0.25">
      <c r="B103" s="143" t="s">
        <v>270</v>
      </c>
      <c r="C103" s="143"/>
      <c r="D103" s="143"/>
      <c r="E103" s="143"/>
      <c r="F103" s="143"/>
      <c r="G103" s="143"/>
      <c r="H103" s="143"/>
      <c r="I103" s="143"/>
      <c r="J103" s="143"/>
      <c r="K103" s="143"/>
      <c r="L103" s="325">
        <v>0.26</v>
      </c>
      <c r="M103" s="325">
        <v>0.35</v>
      </c>
      <c r="N103" s="325">
        <v>0.31</v>
      </c>
      <c r="O103" s="325">
        <v>0.31</v>
      </c>
      <c r="P103" s="325">
        <v>0.32</v>
      </c>
      <c r="Q103" s="325">
        <v>0.3</v>
      </c>
      <c r="R103" s="325">
        <v>0.35</v>
      </c>
      <c r="S103" s="325">
        <v>0.43</v>
      </c>
      <c r="T103" s="325">
        <v>0.4</v>
      </c>
      <c r="U103" s="325">
        <v>0.43</v>
      </c>
      <c r="V103" s="325">
        <v>0.38</v>
      </c>
      <c r="W103" s="325">
        <v>0.41</v>
      </c>
      <c r="X103" s="325">
        <v>0.39</v>
      </c>
      <c r="Y103" s="325" vm="486">
        <f t="shared" si="118"/>
        <v>0.40756977604240718</v>
      </c>
      <c r="Z103" s="325"/>
      <c r="AB103" s="325" vm="108">
        <v>0.26843282250953593</v>
      </c>
      <c r="AC103" s="325" vm="402">
        <v>0.32267147971699905</v>
      </c>
      <c r="AD103" s="325" vm="322">
        <v>0.38502090682924689</v>
      </c>
      <c r="AE103" s="509" vm="486">
        <v>0.40756977604240718</v>
      </c>
      <c r="AF103" s="325" vm="604">
        <v>0.28571248695807872</v>
      </c>
      <c r="AG103" s="325"/>
      <c r="AH103" s="325"/>
      <c r="AI103" s="325"/>
      <c r="AK103"/>
      <c r="AL103"/>
      <c r="AM103"/>
      <c r="AN103"/>
      <c r="AO103"/>
      <c r="AP103"/>
      <c r="AQ103"/>
      <c r="AR103"/>
    </row>
    <row r="104" spans="2:44" ht="15" customHeight="1" x14ac:dyDescent="0.25">
      <c r="B104" s="143" t="s">
        <v>48</v>
      </c>
      <c r="C104" s="143"/>
      <c r="D104" s="143"/>
      <c r="E104" s="143"/>
      <c r="F104" s="143"/>
      <c r="G104" s="143"/>
      <c r="H104" s="143"/>
      <c r="I104" s="143"/>
      <c r="J104" s="143"/>
      <c r="K104" s="143"/>
      <c r="L104" s="301">
        <v>0</v>
      </c>
      <c r="M104" s="301">
        <v>0</v>
      </c>
      <c r="N104" s="301">
        <v>0</v>
      </c>
      <c r="O104" s="301">
        <v>0</v>
      </c>
      <c r="P104" s="301">
        <v>0</v>
      </c>
      <c r="Q104" s="301">
        <v>0</v>
      </c>
      <c r="R104" s="301">
        <v>0</v>
      </c>
      <c r="S104" s="301">
        <v>0</v>
      </c>
      <c r="T104" s="301">
        <v>0</v>
      </c>
      <c r="U104" s="301">
        <v>0</v>
      </c>
      <c r="V104" s="301">
        <v>0</v>
      </c>
      <c r="W104" s="325">
        <v>0.2</v>
      </c>
      <c r="X104" s="325">
        <v>0.16</v>
      </c>
      <c r="Y104" s="347" vm="419">
        <f t="shared" si="118"/>
        <v>0.29832014970912651</v>
      </c>
      <c r="Z104" s="347"/>
      <c r="AB104" s="325" vm="84">
        <v>0.1775895414008275</v>
      </c>
      <c r="AC104" s="325" vm="371">
        <v>0.3296663666568132</v>
      </c>
      <c r="AD104" s="325" vm="285">
        <v>0.29413697312415343</v>
      </c>
      <c r="AE104" s="325" vm="419">
        <v>0.29832014970912651</v>
      </c>
      <c r="AF104" s="325" vm="585">
        <v>0.34963577500832971</v>
      </c>
      <c r="AG104" s="325"/>
      <c r="AH104" s="325"/>
      <c r="AI104" s="325"/>
      <c r="AK104"/>
      <c r="AL104"/>
      <c r="AM104"/>
      <c r="AN104"/>
      <c r="AO104"/>
      <c r="AP104"/>
      <c r="AQ104"/>
      <c r="AR104"/>
    </row>
    <row r="105" spans="2:44" ht="15" customHeight="1" x14ac:dyDescent="0.25">
      <c r="B105" s="107"/>
      <c r="C105" s="107"/>
      <c r="D105" s="107"/>
      <c r="E105" s="107"/>
      <c r="F105" s="107"/>
      <c r="G105" s="107"/>
      <c r="H105" s="107"/>
      <c r="I105" s="107"/>
      <c r="J105" s="107"/>
      <c r="K105" s="107"/>
      <c r="L105" s="107"/>
      <c r="M105" s="107"/>
      <c r="N105" s="107"/>
      <c r="O105" s="107"/>
      <c r="P105" s="107"/>
      <c r="Q105" s="327"/>
      <c r="R105" s="327"/>
      <c r="S105" s="327"/>
      <c r="T105" s="327"/>
      <c r="U105" s="327"/>
      <c r="V105" s="327"/>
      <c r="W105" s="327"/>
      <c r="X105" s="327"/>
      <c r="Y105" s="327"/>
      <c r="Z105" s="327"/>
      <c r="AB105" s="327"/>
      <c r="AC105" s="327"/>
      <c r="AD105" s="327"/>
      <c r="AE105" s="327"/>
      <c r="AK105" s="327"/>
      <c r="AL105" s="327"/>
      <c r="AM105" s="327"/>
      <c r="AN105" s="327"/>
      <c r="AO105" s="327"/>
      <c r="AP105" s="327"/>
      <c r="AQ105" s="327"/>
      <c r="AR105" s="327"/>
    </row>
    <row r="106" spans="2:44" ht="15" customHeight="1" x14ac:dyDescent="0.25">
      <c r="B106" s="36" t="s">
        <v>246</v>
      </c>
      <c r="C106" s="36"/>
      <c r="D106" s="36"/>
      <c r="E106" s="36"/>
      <c r="F106" s="36"/>
      <c r="G106" s="36"/>
      <c r="H106" s="36"/>
      <c r="I106" s="36"/>
      <c r="J106" s="36"/>
      <c r="K106" s="36"/>
      <c r="L106" s="301">
        <v>14351.9</v>
      </c>
      <c r="M106" s="301">
        <v>16800.48</v>
      </c>
      <c r="N106" s="301">
        <v>18444.759999999998</v>
      </c>
      <c r="O106" s="301">
        <v>19186.53</v>
      </c>
      <c r="P106" s="301">
        <v>19762.95</v>
      </c>
      <c r="Q106" s="301">
        <v>21388.16</v>
      </c>
      <c r="R106" s="301">
        <v>24472.71</v>
      </c>
      <c r="S106" s="301">
        <v>27621.040000000001</v>
      </c>
      <c r="T106" s="301">
        <v>28358.959999999999</v>
      </c>
      <c r="U106" s="301">
        <v>30040.51</v>
      </c>
      <c r="V106" s="301">
        <v>28537.49</v>
      </c>
      <c r="W106" s="301">
        <v>30323.39</v>
      </c>
      <c r="X106" s="301">
        <v>33400.53</v>
      </c>
      <c r="Y106" s="301">
        <f t="shared" ref="Y106:Y116" si="119">AE106</f>
        <v>34592.965724206675</v>
      </c>
      <c r="Z106" s="301"/>
      <c r="AB106" s="301">
        <v>10248.015727054888</v>
      </c>
      <c r="AC106" s="301">
        <v>17985.535119891039</v>
      </c>
      <c r="AD106" s="301">
        <v>25186.038088377365</v>
      </c>
      <c r="AE106" s="301">
        <v>34592.965724206675</v>
      </c>
      <c r="AF106" s="301">
        <v>9920.9388783000031</v>
      </c>
      <c r="AG106" s="341"/>
      <c r="AH106" s="341"/>
      <c r="AI106" s="341"/>
      <c r="AK106" s="301">
        <f t="shared" ref="AK106:AK116" si="120">AB106</f>
        <v>10248.015727054888</v>
      </c>
      <c r="AL106" s="301">
        <f t="shared" ref="AL106:AL116" si="121">AC106-AB106</f>
        <v>7737.5193928361514</v>
      </c>
      <c r="AM106" s="301">
        <f t="shared" ref="AM106:AM116" si="122">AD106-AC106</f>
        <v>7200.5029684863257</v>
      </c>
      <c r="AN106" s="301">
        <f t="shared" ref="AN106:AN116" si="123">AE106-AD106</f>
        <v>9406.92763582931</v>
      </c>
      <c r="AO106" s="301">
        <f t="shared" ref="AO106:AO116" si="124">AF106</f>
        <v>9920.9388783000031</v>
      </c>
      <c r="AP106" s="260"/>
      <c r="AQ106" s="260"/>
      <c r="AR106" s="260"/>
    </row>
    <row r="107" spans="2:44" ht="15" customHeight="1" x14ac:dyDescent="0.25">
      <c r="B107" s="142" t="s">
        <v>41</v>
      </c>
      <c r="C107" s="142"/>
      <c r="D107" s="142"/>
      <c r="E107" s="142"/>
      <c r="F107" s="142"/>
      <c r="G107" s="142"/>
      <c r="H107" s="142"/>
      <c r="I107" s="142"/>
      <c r="J107" s="142"/>
      <c r="K107" s="142"/>
      <c r="L107" s="301">
        <v>6631.63</v>
      </c>
      <c r="M107" s="301">
        <v>7300.52</v>
      </c>
      <c r="N107" s="301">
        <v>8276.75</v>
      </c>
      <c r="O107" s="301">
        <v>9187.3799999999992</v>
      </c>
      <c r="P107" s="301">
        <v>9323.23</v>
      </c>
      <c r="Q107" s="301">
        <v>10062.36</v>
      </c>
      <c r="R107" s="301">
        <v>11230.34</v>
      </c>
      <c r="S107" s="301">
        <v>11668.9</v>
      </c>
      <c r="T107" s="301">
        <v>11479.93</v>
      </c>
      <c r="U107" s="301">
        <v>11790.81</v>
      </c>
      <c r="V107" s="301">
        <v>10024.1</v>
      </c>
      <c r="W107" s="301">
        <v>11356.45</v>
      </c>
      <c r="X107" s="301">
        <v>11778.25</v>
      </c>
      <c r="Y107" s="301">
        <f t="shared" si="119"/>
        <v>11619.045380280855</v>
      </c>
      <c r="Z107" s="301"/>
      <c r="AB107" s="301">
        <v>3465.7206662447074</v>
      </c>
      <c r="AC107" s="301">
        <v>5867.0861628422963</v>
      </c>
      <c r="AD107" s="301">
        <v>8258.5559363175271</v>
      </c>
      <c r="AE107" s="301">
        <v>11619.045380280855</v>
      </c>
      <c r="AF107" s="301">
        <v>3579.9026200000012</v>
      </c>
      <c r="AG107" s="341"/>
      <c r="AH107" s="341"/>
      <c r="AI107" s="341"/>
      <c r="AK107" s="301">
        <f t="shared" si="120"/>
        <v>3465.7206662447074</v>
      </c>
      <c r="AL107" s="301">
        <f t="shared" si="121"/>
        <v>2401.3654965975888</v>
      </c>
      <c r="AM107" s="301">
        <f t="shared" si="122"/>
        <v>2391.4697734752308</v>
      </c>
      <c r="AN107" s="301">
        <f t="shared" si="123"/>
        <v>3360.4894439633281</v>
      </c>
      <c r="AO107" s="301">
        <f t="shared" si="124"/>
        <v>3579.9026200000012</v>
      </c>
      <c r="AP107" s="301"/>
      <c r="AQ107" s="301"/>
      <c r="AR107" s="301"/>
    </row>
    <row r="108" spans="2:44" ht="15" customHeight="1" x14ac:dyDescent="0.25">
      <c r="B108" s="38" t="s">
        <v>50</v>
      </c>
      <c r="C108" s="38"/>
      <c r="D108" s="38"/>
      <c r="E108" s="38"/>
      <c r="F108" s="38"/>
      <c r="G108" s="38"/>
      <c r="H108" s="38"/>
      <c r="I108" s="38"/>
      <c r="J108" s="38"/>
      <c r="K108" s="38"/>
      <c r="L108" s="306">
        <v>4355.3100000000004</v>
      </c>
      <c r="M108" s="306">
        <v>4583.67</v>
      </c>
      <c r="N108" s="306">
        <v>5105.57</v>
      </c>
      <c r="O108" s="306">
        <v>5462.53</v>
      </c>
      <c r="P108" s="306">
        <v>5176.13</v>
      </c>
      <c r="Q108" s="306">
        <v>4846.7</v>
      </c>
      <c r="R108" s="306">
        <v>4926.3599999999997</v>
      </c>
      <c r="S108" s="306">
        <v>5095.41</v>
      </c>
      <c r="T108" s="306">
        <v>5163.88</v>
      </c>
      <c r="U108" s="306">
        <v>5298.3</v>
      </c>
      <c r="V108" s="306">
        <v>4346.1499999999996</v>
      </c>
      <c r="W108" s="306">
        <v>4979.04</v>
      </c>
      <c r="X108" s="306">
        <v>4885.12</v>
      </c>
      <c r="Y108" s="306">
        <f t="shared" si="119"/>
        <v>4490.9207105706701</v>
      </c>
      <c r="Z108" s="306"/>
      <c r="AB108" s="306">
        <v>1373.5500435826903</v>
      </c>
      <c r="AC108" s="306">
        <v>2353.6244400946898</v>
      </c>
      <c r="AD108" s="306">
        <v>3196.0912528126901</v>
      </c>
      <c r="AE108" s="306">
        <v>4490.9207105706701</v>
      </c>
      <c r="AF108" s="306">
        <v>1324.52252</v>
      </c>
      <c r="AG108" s="306"/>
      <c r="AH108" s="306"/>
      <c r="AI108" s="306"/>
      <c r="AK108" s="306">
        <f t="shared" si="120"/>
        <v>1373.5500435826903</v>
      </c>
      <c r="AL108" s="306">
        <f t="shared" si="121"/>
        <v>980.07439651199957</v>
      </c>
      <c r="AM108" s="306">
        <f t="shared" si="122"/>
        <v>842.46681271800026</v>
      </c>
      <c r="AN108" s="306">
        <f t="shared" si="123"/>
        <v>1294.82945775798</v>
      </c>
      <c r="AO108" s="306">
        <f t="shared" si="124"/>
        <v>1324.52252</v>
      </c>
      <c r="AP108" s="306"/>
      <c r="AQ108" s="306"/>
      <c r="AR108" s="306"/>
    </row>
    <row r="109" spans="2:44" ht="15" customHeight="1" x14ac:dyDescent="0.25">
      <c r="B109" s="38" t="s">
        <v>51</v>
      </c>
      <c r="C109" s="38"/>
      <c r="D109" s="38"/>
      <c r="E109" s="38"/>
      <c r="F109" s="38"/>
      <c r="G109" s="38"/>
      <c r="H109" s="38"/>
      <c r="I109" s="38"/>
      <c r="J109" s="38"/>
      <c r="K109" s="38"/>
      <c r="L109" s="306">
        <v>1472.25</v>
      </c>
      <c r="M109" s="306">
        <v>1390.53</v>
      </c>
      <c r="N109" s="306">
        <v>1444.08</v>
      </c>
      <c r="O109" s="306">
        <v>1593.17</v>
      </c>
      <c r="P109" s="306">
        <v>1652.09</v>
      </c>
      <c r="Q109" s="306">
        <v>1991.16</v>
      </c>
      <c r="R109" s="306">
        <v>3047.17</v>
      </c>
      <c r="S109" s="306">
        <v>2911.64</v>
      </c>
      <c r="T109" s="306">
        <v>2995.03</v>
      </c>
      <c r="U109" s="306">
        <v>3159.58</v>
      </c>
      <c r="V109" s="306">
        <v>2623.9</v>
      </c>
      <c r="W109" s="306">
        <v>3048.87</v>
      </c>
      <c r="X109" s="306">
        <v>2715.38</v>
      </c>
      <c r="Y109" s="306">
        <f t="shared" si="119"/>
        <v>2700.5261351985</v>
      </c>
      <c r="Z109" s="306"/>
      <c r="AB109" s="306">
        <v>731.49982090600008</v>
      </c>
      <c r="AC109" s="306">
        <v>1306.3782606560001</v>
      </c>
      <c r="AD109" s="306">
        <v>1953.0670471660001</v>
      </c>
      <c r="AE109" s="306">
        <v>2700.5261351985</v>
      </c>
      <c r="AF109" s="306">
        <v>907.78638000000001</v>
      </c>
      <c r="AG109" s="306"/>
      <c r="AH109" s="306"/>
      <c r="AI109" s="306"/>
      <c r="AK109" s="306">
        <f t="shared" si="120"/>
        <v>731.49982090600008</v>
      </c>
      <c r="AL109" s="306">
        <f t="shared" si="121"/>
        <v>574.87843974999998</v>
      </c>
      <c r="AM109" s="306">
        <f t="shared" si="122"/>
        <v>646.68878651</v>
      </c>
      <c r="AN109" s="306">
        <f t="shared" si="123"/>
        <v>747.45908803249995</v>
      </c>
      <c r="AO109" s="306">
        <f t="shared" si="124"/>
        <v>907.78638000000001</v>
      </c>
      <c r="AP109" s="306"/>
      <c r="AQ109" s="306"/>
      <c r="AR109" s="306"/>
    </row>
    <row r="110" spans="2:44" ht="15" customHeight="1" x14ac:dyDescent="0.25">
      <c r="B110" s="38" t="s">
        <v>52</v>
      </c>
      <c r="C110" s="38"/>
      <c r="D110" s="38"/>
      <c r="E110" s="38"/>
      <c r="F110" s="38"/>
      <c r="G110" s="38"/>
      <c r="H110" s="38"/>
      <c r="I110" s="38"/>
      <c r="J110" s="38"/>
      <c r="K110" s="38"/>
      <c r="L110" s="306">
        <v>804.08</v>
      </c>
      <c r="M110" s="306">
        <v>1326.31</v>
      </c>
      <c r="N110" s="306">
        <v>1727.1</v>
      </c>
      <c r="O110" s="306">
        <v>2131.69</v>
      </c>
      <c r="P110" s="306">
        <v>2495.0100000000002</v>
      </c>
      <c r="Q110" s="306">
        <v>3224.51</v>
      </c>
      <c r="R110" s="306">
        <v>3256.81</v>
      </c>
      <c r="S110" s="306">
        <v>3661.85</v>
      </c>
      <c r="T110" s="306">
        <v>3321.02</v>
      </c>
      <c r="U110" s="306">
        <v>3332.93</v>
      </c>
      <c r="V110" s="306">
        <v>3054.05</v>
      </c>
      <c r="W110" s="306">
        <v>3328.54</v>
      </c>
      <c r="X110" s="306">
        <v>4177.75</v>
      </c>
      <c r="Y110" s="306">
        <f t="shared" si="119"/>
        <v>4427.5985345116906</v>
      </c>
      <c r="Z110" s="306"/>
      <c r="AB110" s="306">
        <v>1360.67080175602</v>
      </c>
      <c r="AC110" s="306">
        <v>2207.0834620916098</v>
      </c>
      <c r="AD110" s="306">
        <v>3109.3976363388397</v>
      </c>
      <c r="AE110" s="306">
        <v>4427.5985345116906</v>
      </c>
      <c r="AF110" s="306">
        <v>1347.5937200000001</v>
      </c>
      <c r="AG110" s="306"/>
      <c r="AH110" s="306"/>
      <c r="AI110" s="306"/>
      <c r="AK110" s="306">
        <f t="shared" si="120"/>
        <v>1360.67080175602</v>
      </c>
      <c r="AL110" s="306">
        <f t="shared" si="121"/>
        <v>846.41266033558986</v>
      </c>
      <c r="AM110" s="306">
        <f t="shared" si="122"/>
        <v>902.31417424722986</v>
      </c>
      <c r="AN110" s="306">
        <f t="shared" si="123"/>
        <v>1318.2008981728509</v>
      </c>
      <c r="AO110" s="306">
        <f t="shared" si="124"/>
        <v>1347.5937200000001</v>
      </c>
      <c r="AP110" s="306"/>
      <c r="AQ110" s="306"/>
      <c r="AR110" s="306"/>
    </row>
    <row r="111" spans="2:44" ht="15" customHeight="1" x14ac:dyDescent="0.25">
      <c r="B111" s="143" t="s">
        <v>3</v>
      </c>
      <c r="C111" s="143"/>
      <c r="D111" s="143"/>
      <c r="E111" s="143"/>
      <c r="F111" s="143"/>
      <c r="G111" s="143"/>
      <c r="H111" s="143"/>
      <c r="I111" s="143"/>
      <c r="J111" s="143"/>
      <c r="K111" s="143"/>
      <c r="L111" s="301">
        <v>7689.48</v>
      </c>
      <c r="M111" s="301">
        <v>9330.33</v>
      </c>
      <c r="N111" s="301">
        <v>9936.74</v>
      </c>
      <c r="O111" s="301">
        <v>9769.35</v>
      </c>
      <c r="P111" s="301">
        <v>10203.790000000001</v>
      </c>
      <c r="Q111" s="301">
        <v>11103.44</v>
      </c>
      <c r="R111" s="301">
        <v>12576.21</v>
      </c>
      <c r="S111" s="301">
        <v>15090.89</v>
      </c>
      <c r="T111" s="301">
        <v>15644.05</v>
      </c>
      <c r="U111" s="301">
        <v>16492.400000000001</v>
      </c>
      <c r="V111" s="301">
        <v>17420.77</v>
      </c>
      <c r="W111" s="301">
        <v>17056.53</v>
      </c>
      <c r="X111" s="301">
        <v>18361.919999999998</v>
      </c>
      <c r="Y111" s="301">
        <f t="shared" si="119"/>
        <v>17306.070312476</v>
      </c>
      <c r="Z111" s="301"/>
      <c r="AB111" s="301">
        <v>5174.0593573863898</v>
      </c>
      <c r="AC111" s="301">
        <v>9320.9131755548988</v>
      </c>
      <c r="AD111" s="301">
        <v>12663.98945496064</v>
      </c>
      <c r="AE111" s="301">
        <v>17306.070312476</v>
      </c>
      <c r="AF111" s="301">
        <v>5397.9278583000005</v>
      </c>
      <c r="AG111" s="341"/>
      <c r="AH111" s="341"/>
      <c r="AI111" s="341"/>
      <c r="AK111" s="301">
        <f t="shared" si="120"/>
        <v>5174.0593573863898</v>
      </c>
      <c r="AL111" s="301">
        <f t="shared" si="121"/>
        <v>4146.853818168509</v>
      </c>
      <c r="AM111" s="301">
        <f t="shared" si="122"/>
        <v>3343.0762794057409</v>
      </c>
      <c r="AN111" s="301">
        <f t="shared" si="123"/>
        <v>4642.0808575153605</v>
      </c>
      <c r="AO111" s="301">
        <f t="shared" si="124"/>
        <v>5397.9278583000005</v>
      </c>
      <c r="AP111" s="301"/>
      <c r="AQ111" s="301"/>
      <c r="AR111" s="301"/>
    </row>
    <row r="112" spans="2:44" ht="15" customHeight="1" x14ac:dyDescent="0.25">
      <c r="B112" s="38" t="s">
        <v>53</v>
      </c>
      <c r="C112" s="38"/>
      <c r="D112" s="38"/>
      <c r="E112" s="38"/>
      <c r="F112" s="38"/>
      <c r="G112" s="38"/>
      <c r="H112" s="38"/>
      <c r="I112" s="38"/>
      <c r="J112" s="38"/>
      <c r="K112" s="38"/>
      <c r="L112" s="302">
        <v>7689.48</v>
      </c>
      <c r="M112" s="302">
        <v>9330.33</v>
      </c>
      <c r="N112" s="302">
        <v>9936.74</v>
      </c>
      <c r="O112" s="302">
        <v>9769.3499999999985</v>
      </c>
      <c r="P112" s="302">
        <v>10145.09</v>
      </c>
      <c r="Q112" s="302">
        <v>11031.320000000002</v>
      </c>
      <c r="R112" s="302">
        <v>12501.23</v>
      </c>
      <c r="S112" s="302">
        <v>14409.15</v>
      </c>
      <c r="T112" s="302">
        <v>14873.470000000001</v>
      </c>
      <c r="U112" s="302">
        <v>15696.3</v>
      </c>
      <c r="V112" s="302">
        <v>16633.32</v>
      </c>
      <c r="W112" s="302">
        <v>15814.43</v>
      </c>
      <c r="X112" s="302">
        <v>17028.57</v>
      </c>
      <c r="Y112" s="302">
        <f t="shared" si="119"/>
        <v>15428.198364733938</v>
      </c>
      <c r="Z112" s="302"/>
      <c r="AB112" s="302">
        <v>4744.0355493581801</v>
      </c>
      <c r="AC112" s="302">
        <v>8403.9938256209898</v>
      </c>
      <c r="AD112" s="302">
        <v>11292.12738956973</v>
      </c>
      <c r="AE112" s="302">
        <v>15428.198364733938</v>
      </c>
      <c r="AF112" s="302">
        <v>4698.6038760000001</v>
      </c>
      <c r="AG112" s="308"/>
      <c r="AH112" s="308"/>
      <c r="AI112" s="308"/>
      <c r="AK112" s="302">
        <f t="shared" si="120"/>
        <v>4744.0355493581801</v>
      </c>
      <c r="AL112" s="302">
        <f t="shared" si="121"/>
        <v>3659.9582762628097</v>
      </c>
      <c r="AM112" s="302">
        <f t="shared" si="122"/>
        <v>2888.1335639487406</v>
      </c>
      <c r="AN112" s="302">
        <f t="shared" si="123"/>
        <v>4136.070975164208</v>
      </c>
      <c r="AO112" s="302">
        <f t="shared" si="124"/>
        <v>4698.6038760000001</v>
      </c>
      <c r="AP112" s="302"/>
      <c r="AQ112" s="302"/>
      <c r="AR112" s="302"/>
    </row>
    <row r="113" spans="2:44" ht="15" customHeight="1" x14ac:dyDescent="0.25">
      <c r="B113" s="38" t="s">
        <v>54</v>
      </c>
      <c r="C113" s="38"/>
      <c r="D113" s="38"/>
      <c r="E113" s="38"/>
      <c r="F113" s="38"/>
      <c r="G113" s="38"/>
      <c r="H113" s="38"/>
      <c r="I113" s="38"/>
      <c r="J113" s="38"/>
      <c r="K113" s="38"/>
      <c r="L113" s="302" t="s">
        <v>17</v>
      </c>
      <c r="M113" s="302" t="s">
        <v>17</v>
      </c>
      <c r="N113" s="302" t="s">
        <v>17</v>
      </c>
      <c r="O113" s="302">
        <v>0</v>
      </c>
      <c r="P113" s="302">
        <v>58.69</v>
      </c>
      <c r="Q113" s="302">
        <v>72.02</v>
      </c>
      <c r="R113" s="302">
        <v>74.98</v>
      </c>
      <c r="S113" s="302">
        <v>74.709999999999994</v>
      </c>
      <c r="T113" s="302">
        <v>71.23</v>
      </c>
      <c r="U113" s="302">
        <v>69.849999999999994</v>
      </c>
      <c r="V113" s="302">
        <v>77.95</v>
      </c>
      <c r="W113" s="302">
        <v>255.36</v>
      </c>
      <c r="X113" s="302">
        <v>360.48</v>
      </c>
      <c r="Y113" s="302">
        <f t="shared" si="119"/>
        <v>393.9619481327</v>
      </c>
      <c r="Z113" s="302"/>
      <c r="AB113" s="302">
        <v>79.047007932</v>
      </c>
      <c r="AC113" s="302">
        <v>154.2195898377</v>
      </c>
      <c r="AD113" s="302">
        <v>207.80895673269998</v>
      </c>
      <c r="AE113" s="302">
        <v>393.9619481327</v>
      </c>
      <c r="AF113" s="302">
        <v>340.89448340000001</v>
      </c>
      <c r="AG113" s="308"/>
      <c r="AH113" s="308"/>
      <c r="AI113" s="308"/>
      <c r="AK113" s="302">
        <f t="shared" si="120"/>
        <v>79.047007932</v>
      </c>
      <c r="AL113" s="302">
        <f t="shared" si="121"/>
        <v>75.1725819057</v>
      </c>
      <c r="AM113" s="302">
        <f t="shared" si="122"/>
        <v>53.589366894999984</v>
      </c>
      <c r="AN113" s="302">
        <f t="shared" si="123"/>
        <v>186.15299140000002</v>
      </c>
      <c r="AO113" s="302">
        <f t="shared" si="124"/>
        <v>340.89448340000001</v>
      </c>
      <c r="AP113" s="302"/>
      <c r="AQ113" s="302"/>
      <c r="AR113" s="302"/>
    </row>
    <row r="114" spans="2:44" ht="15" customHeight="1" x14ac:dyDescent="0.25">
      <c r="B114" s="38" t="s">
        <v>55</v>
      </c>
      <c r="C114" s="38"/>
      <c r="D114" s="38"/>
      <c r="E114" s="38"/>
      <c r="F114" s="38"/>
      <c r="G114" s="38"/>
      <c r="H114" s="38"/>
      <c r="I114" s="38"/>
      <c r="J114" s="38"/>
      <c r="K114" s="38"/>
      <c r="L114" s="302" t="s">
        <v>17</v>
      </c>
      <c r="M114" s="302" t="s">
        <v>17</v>
      </c>
      <c r="N114" s="302" t="s">
        <v>17</v>
      </c>
      <c r="O114" s="302" t="s">
        <v>17</v>
      </c>
      <c r="P114" s="302" t="s">
        <v>17</v>
      </c>
      <c r="Q114" s="302" t="s">
        <v>17</v>
      </c>
      <c r="R114" s="302">
        <v>0</v>
      </c>
      <c r="S114" s="302">
        <v>606.37</v>
      </c>
      <c r="T114" s="302">
        <v>699.79</v>
      </c>
      <c r="U114" s="302">
        <v>726.25</v>
      </c>
      <c r="V114" s="302">
        <v>709.82</v>
      </c>
      <c r="W114" s="302">
        <v>986.74</v>
      </c>
      <c r="X114" s="302">
        <v>972.87</v>
      </c>
      <c r="Y114" s="302">
        <f t="shared" si="119"/>
        <v>1483.9100007772099</v>
      </c>
      <c r="Z114" s="302"/>
      <c r="AB114" s="302">
        <v>350.97680009621001</v>
      </c>
      <c r="AC114" s="302">
        <v>762.69976009621007</v>
      </c>
      <c r="AD114" s="302">
        <v>1164.05310865821</v>
      </c>
      <c r="AE114" s="302">
        <v>1483.9100007772099</v>
      </c>
      <c r="AF114" s="302">
        <v>358.4294989</v>
      </c>
      <c r="AG114" s="308"/>
      <c r="AH114" s="308"/>
      <c r="AI114" s="308"/>
      <c r="AK114" s="302">
        <f t="shared" si="120"/>
        <v>350.97680009621001</v>
      </c>
      <c r="AL114" s="302">
        <f t="shared" si="121"/>
        <v>411.72296000000006</v>
      </c>
      <c r="AM114" s="302">
        <f t="shared" si="122"/>
        <v>401.35334856199995</v>
      </c>
      <c r="AN114" s="302">
        <f t="shared" si="123"/>
        <v>319.85689211899989</v>
      </c>
      <c r="AO114" s="302">
        <f t="shared" si="124"/>
        <v>358.4294989</v>
      </c>
      <c r="AP114" s="302"/>
      <c r="AQ114" s="302"/>
      <c r="AR114" s="302"/>
    </row>
    <row r="115" spans="2:44" ht="15" customHeight="1" x14ac:dyDescent="0.25">
      <c r="B115" s="143" t="s">
        <v>270</v>
      </c>
      <c r="C115" s="143"/>
      <c r="D115" s="143"/>
      <c r="E115" s="143"/>
      <c r="F115" s="143"/>
      <c r="G115" s="143"/>
      <c r="H115" s="143"/>
      <c r="I115" s="143"/>
      <c r="J115" s="143"/>
      <c r="K115" s="143"/>
      <c r="L115" s="301">
        <v>30.78</v>
      </c>
      <c r="M115" s="301">
        <v>169.63</v>
      </c>
      <c r="N115" s="301">
        <v>231.26</v>
      </c>
      <c r="O115" s="301">
        <v>229.8</v>
      </c>
      <c r="P115" s="301">
        <v>235.93</v>
      </c>
      <c r="Q115" s="301">
        <v>222.35</v>
      </c>
      <c r="R115" s="301">
        <v>666.17</v>
      </c>
      <c r="S115" s="301">
        <v>861.25</v>
      </c>
      <c r="T115" s="301">
        <v>1234.98</v>
      </c>
      <c r="U115" s="301">
        <v>1757.3</v>
      </c>
      <c r="V115" s="301">
        <v>1092.6099999999999</v>
      </c>
      <c r="W115" s="301">
        <v>1887.6</v>
      </c>
      <c r="X115" s="301">
        <v>2624.86</v>
      </c>
      <c r="Y115" s="301">
        <f t="shared" si="119"/>
        <v>4483.3927465910201</v>
      </c>
      <c r="Z115" s="301"/>
      <c r="AB115" s="301">
        <v>1332.2888702600601</v>
      </c>
      <c r="AC115" s="301">
        <v>2209.7394912867699</v>
      </c>
      <c r="AD115" s="301">
        <v>3354.0633061011099</v>
      </c>
      <c r="AE115" s="301">
        <v>4483.3927465910201</v>
      </c>
      <c r="AF115" s="301">
        <v>607.2993899999999</v>
      </c>
      <c r="AG115" s="341"/>
      <c r="AH115" s="341"/>
      <c r="AI115" s="341"/>
      <c r="AK115" s="301">
        <f t="shared" si="120"/>
        <v>1332.2888702600601</v>
      </c>
      <c r="AL115" s="301">
        <f t="shared" si="121"/>
        <v>877.45062102670977</v>
      </c>
      <c r="AM115" s="301">
        <f t="shared" si="122"/>
        <v>1144.32381481434</v>
      </c>
      <c r="AN115" s="301">
        <f t="shared" si="123"/>
        <v>1129.3294404899102</v>
      </c>
      <c r="AO115" s="301">
        <f t="shared" si="124"/>
        <v>607.2993899999999</v>
      </c>
      <c r="AP115" s="301"/>
      <c r="AQ115" s="301"/>
      <c r="AR115" s="301"/>
    </row>
    <row r="116" spans="2:44" ht="15" customHeight="1" x14ac:dyDescent="0.25">
      <c r="B116" s="143" t="s">
        <v>48</v>
      </c>
      <c r="C116" s="143"/>
      <c r="D116" s="143"/>
      <c r="E116" s="143"/>
      <c r="F116" s="143"/>
      <c r="G116" s="143"/>
      <c r="H116" s="143"/>
      <c r="I116" s="143"/>
      <c r="J116" s="143"/>
      <c r="K116" s="143"/>
      <c r="L116" s="301">
        <v>0</v>
      </c>
      <c r="M116" s="301">
        <v>0</v>
      </c>
      <c r="N116" s="301">
        <v>0</v>
      </c>
      <c r="O116" s="301">
        <v>0</v>
      </c>
      <c r="P116" s="301">
        <v>0</v>
      </c>
      <c r="Q116" s="301">
        <v>0</v>
      </c>
      <c r="R116" s="301">
        <v>0</v>
      </c>
      <c r="S116" s="301">
        <v>0</v>
      </c>
      <c r="T116" s="301">
        <v>0</v>
      </c>
      <c r="U116" s="301">
        <v>0</v>
      </c>
      <c r="V116" s="301">
        <v>0</v>
      </c>
      <c r="W116" s="301">
        <v>22.8</v>
      </c>
      <c r="X116" s="301">
        <v>635.51</v>
      </c>
      <c r="Y116" s="301">
        <f t="shared" si="119"/>
        <v>1184.4572848587898</v>
      </c>
      <c r="Z116" s="301"/>
      <c r="AB116" s="301">
        <v>275.94683316372993</v>
      </c>
      <c r="AC116" s="301">
        <v>587.79629020707</v>
      </c>
      <c r="AD116" s="301">
        <v>909.42939099807995</v>
      </c>
      <c r="AE116" s="301">
        <v>1184.4572848587898</v>
      </c>
      <c r="AF116" s="301">
        <v>335.80901</v>
      </c>
      <c r="AG116" s="341"/>
      <c r="AH116" s="341"/>
      <c r="AI116" s="341"/>
      <c r="AK116" s="301">
        <f t="shared" si="120"/>
        <v>275.94683316372993</v>
      </c>
      <c r="AL116" s="301">
        <f t="shared" si="121"/>
        <v>311.84945704334007</v>
      </c>
      <c r="AM116" s="301">
        <f t="shared" si="122"/>
        <v>321.63310079100995</v>
      </c>
      <c r="AN116" s="301">
        <f t="shared" si="123"/>
        <v>275.02789386070981</v>
      </c>
      <c r="AO116" s="301">
        <f t="shared" si="124"/>
        <v>335.80901</v>
      </c>
      <c r="AP116" s="301"/>
      <c r="AQ116" s="301"/>
      <c r="AR116" s="301"/>
    </row>
    <row r="117" spans="2:44" ht="15" customHeight="1" x14ac:dyDescent="0.25">
      <c r="B117" s="20"/>
      <c r="C117" s="20"/>
      <c r="D117" s="20"/>
      <c r="E117" s="20"/>
      <c r="F117" s="20"/>
      <c r="G117" s="20"/>
      <c r="H117" s="20"/>
      <c r="I117" s="20"/>
      <c r="J117" s="20"/>
      <c r="K117" s="20"/>
      <c r="Q117" s="302"/>
      <c r="R117" s="302"/>
      <c r="S117" s="302"/>
      <c r="T117" s="302"/>
      <c r="U117" s="302"/>
      <c r="V117" s="302"/>
      <c r="W117" s="302"/>
      <c r="X117" s="302"/>
      <c r="Y117" s="302"/>
      <c r="Z117" s="302"/>
      <c r="AB117" s="302"/>
      <c r="AC117" s="302"/>
      <c r="AD117" s="302"/>
      <c r="AE117" s="302"/>
      <c r="AF117" s="302"/>
      <c r="AG117" s="308"/>
      <c r="AH117" s="308"/>
      <c r="AI117" s="308"/>
      <c r="AK117" s="302"/>
      <c r="AL117" s="302"/>
      <c r="AM117" s="302"/>
      <c r="AN117" s="302"/>
      <c r="AO117" s="302"/>
      <c r="AP117" s="302"/>
      <c r="AQ117" s="302"/>
      <c r="AR117" s="302"/>
    </row>
    <row r="118" spans="2:44" ht="15" customHeight="1" x14ac:dyDescent="0.25">
      <c r="B118" s="36" t="s">
        <v>60</v>
      </c>
      <c r="C118" s="36"/>
      <c r="D118" s="36"/>
      <c r="E118" s="36"/>
      <c r="F118" s="36"/>
      <c r="G118" s="36"/>
      <c r="H118" s="36"/>
      <c r="I118" s="36"/>
      <c r="J118" s="36"/>
      <c r="K118" s="36"/>
      <c r="L118" s="328">
        <v>58.39</v>
      </c>
      <c r="M118" s="328">
        <v>57.68</v>
      </c>
      <c r="N118" s="328">
        <v>63.48</v>
      </c>
      <c r="O118" s="328">
        <v>62.59</v>
      </c>
      <c r="P118" s="328">
        <v>58.94</v>
      </c>
      <c r="Q118" s="328">
        <v>63.95</v>
      </c>
      <c r="R118" s="328">
        <v>60.51</v>
      </c>
      <c r="S118" s="328">
        <v>59.17</v>
      </c>
      <c r="T118" s="328">
        <v>53.74</v>
      </c>
      <c r="U118" s="328">
        <v>54.66</v>
      </c>
      <c r="V118" s="328">
        <v>53.22</v>
      </c>
      <c r="W118" s="328">
        <v>53.65</v>
      </c>
      <c r="X118" s="328">
        <v>64.67</v>
      </c>
      <c r="Y118" s="328" vm="434">
        <f>AE118</f>
        <v>61.071329007101028</v>
      </c>
      <c r="Z118" s="328"/>
      <c r="AB118" s="328" vm="85">
        <v>62.521855658268905</v>
      </c>
      <c r="AC118" s="328" vm="394">
        <v>59.738126716010129</v>
      </c>
      <c r="AD118" s="328" vm="293">
        <v>61.748863920851655</v>
      </c>
      <c r="AE118" s="328" vm="434">
        <v>61.071329007101028</v>
      </c>
      <c r="AF118" s="328" vm="561">
        <v>60.559629689750821</v>
      </c>
      <c r="AG118" s="328"/>
      <c r="AH118" s="328"/>
      <c r="AI118" s="328"/>
      <c r="AK118"/>
      <c r="AL118"/>
      <c r="AM118"/>
      <c r="AN118"/>
      <c r="AO118"/>
      <c r="AP118"/>
      <c r="AQ118"/>
      <c r="AR118"/>
    </row>
    <row r="119" spans="2:44" ht="15" customHeight="1" x14ac:dyDescent="0.25">
      <c r="B119" s="9" t="s">
        <v>61</v>
      </c>
      <c r="C119" s="9"/>
      <c r="D119" s="9"/>
      <c r="E119" s="9"/>
      <c r="F119" s="9"/>
      <c r="G119" s="9"/>
      <c r="H119" s="9"/>
      <c r="I119" s="9"/>
      <c r="J119" s="9"/>
      <c r="K119" s="9"/>
      <c r="L119" s="329">
        <v>84.17</v>
      </c>
      <c r="M119" s="329">
        <v>87.99</v>
      </c>
      <c r="N119" s="329">
        <v>94.23</v>
      </c>
      <c r="O119" s="329">
        <v>89.26</v>
      </c>
      <c r="P119" s="329">
        <v>80.260000000000005</v>
      </c>
      <c r="Q119" s="329">
        <v>83</v>
      </c>
      <c r="R119" s="329">
        <v>81.47</v>
      </c>
      <c r="S119" s="329">
        <v>81.02</v>
      </c>
      <c r="T119" s="329">
        <v>77.39</v>
      </c>
      <c r="U119" s="329">
        <v>77.290000000000006</v>
      </c>
      <c r="V119" s="329">
        <v>80.59</v>
      </c>
      <c r="W119" s="329">
        <v>80.98</v>
      </c>
      <c r="X119" s="329">
        <v>105.99</v>
      </c>
      <c r="Y119" s="329">
        <f>AE119</f>
        <v>93.098151848572527</v>
      </c>
      <c r="Z119" s="329"/>
      <c r="AB119" s="329">
        <v>105.14218216831631</v>
      </c>
      <c r="AC119" s="329">
        <v>89.615890213326054</v>
      </c>
      <c r="AD119" s="329">
        <v>93.012936915290439</v>
      </c>
      <c r="AE119" s="329">
        <v>93.098151848572527</v>
      </c>
      <c r="AF119" s="329" vm="560">
        <v>89.430787137165225</v>
      </c>
      <c r="AG119" s="329"/>
      <c r="AH119" s="329"/>
      <c r="AI119" s="329"/>
      <c r="AK119"/>
      <c r="AL119"/>
      <c r="AM119"/>
      <c r="AN119"/>
      <c r="AO119"/>
      <c r="AP119"/>
      <c r="AQ119"/>
      <c r="AR119"/>
    </row>
    <row r="120" spans="2:44" ht="15" customHeight="1" x14ac:dyDescent="0.25">
      <c r="B120" s="9" t="s">
        <v>62</v>
      </c>
      <c r="C120" s="9"/>
      <c r="D120" s="9"/>
      <c r="E120" s="9"/>
      <c r="F120" s="9"/>
      <c r="G120" s="9"/>
      <c r="H120" s="9"/>
      <c r="I120" s="9"/>
      <c r="J120" s="9"/>
      <c r="K120" s="9"/>
      <c r="L120" s="329">
        <v>34.25</v>
      </c>
      <c r="M120" s="329">
        <v>32.83</v>
      </c>
      <c r="N120" s="329">
        <v>47.13</v>
      </c>
      <c r="O120" s="329">
        <v>48.41</v>
      </c>
      <c r="P120" s="329">
        <v>50.83</v>
      </c>
      <c r="Q120" s="329">
        <v>51.02</v>
      </c>
      <c r="R120" s="329">
        <v>46.44</v>
      </c>
      <c r="S120" s="329">
        <v>46.43</v>
      </c>
      <c r="T120" s="329">
        <v>45.3</v>
      </c>
      <c r="U120" s="329">
        <v>45.27</v>
      </c>
      <c r="V120" s="329">
        <v>43.96</v>
      </c>
      <c r="W120" s="329">
        <v>43.91</v>
      </c>
      <c r="X120" s="329">
        <v>42.59</v>
      </c>
      <c r="Y120" s="329">
        <f>AE120</f>
        <v>46.153750158398282</v>
      </c>
      <c r="Z120" s="329"/>
      <c r="AB120" s="329">
        <v>44.167562325799672</v>
      </c>
      <c r="AC120" s="329">
        <v>46.65995091035326</v>
      </c>
      <c r="AD120" s="329">
        <v>47.165699704385702</v>
      </c>
      <c r="AE120" s="329">
        <v>46.153750158398282</v>
      </c>
      <c r="AF120" s="329">
        <v>44.723245080538845</v>
      </c>
      <c r="AG120" s="329"/>
      <c r="AH120" s="329"/>
      <c r="AI120" s="329"/>
      <c r="AK120"/>
      <c r="AL120"/>
      <c r="AM120"/>
      <c r="AN120"/>
      <c r="AO120"/>
      <c r="AP120"/>
      <c r="AQ120"/>
      <c r="AR120"/>
    </row>
    <row r="121" spans="2:44" ht="15" customHeight="1" x14ac:dyDescent="0.25">
      <c r="B121" s="9" t="s">
        <v>272</v>
      </c>
      <c r="C121" s="9"/>
      <c r="D121" s="9"/>
      <c r="E121" s="9"/>
      <c r="F121" s="9"/>
      <c r="G121" s="9"/>
      <c r="H121" s="9"/>
      <c r="I121" s="9"/>
      <c r="J121" s="9"/>
      <c r="K121" s="9"/>
      <c r="L121" s="329">
        <v>109.36</v>
      </c>
      <c r="M121" s="329">
        <v>119.67</v>
      </c>
      <c r="N121" s="329">
        <v>286.39</v>
      </c>
      <c r="O121" s="329">
        <v>309.20999999999998</v>
      </c>
      <c r="P121" s="329">
        <v>346.36</v>
      </c>
      <c r="Q121" s="329">
        <v>370.37</v>
      </c>
      <c r="R121" s="329">
        <v>216.09</v>
      </c>
      <c r="S121" s="329">
        <v>288.79000000000002</v>
      </c>
      <c r="T121" s="329">
        <v>195.39</v>
      </c>
      <c r="U121" s="329">
        <v>205.32</v>
      </c>
      <c r="V121" s="329">
        <v>217.56</v>
      </c>
      <c r="W121" s="329">
        <v>245.52</v>
      </c>
      <c r="X121" s="329">
        <v>219.19</v>
      </c>
      <c r="Y121" s="329">
        <f>AE121</f>
        <v>172.99432750667455</v>
      </c>
      <c r="Z121" s="329"/>
      <c r="AB121" s="329" vm="86">
        <v>23.754194427461126</v>
      </c>
      <c r="AC121" s="329">
        <v>148.36250118656389</v>
      </c>
      <c r="AD121" s="329">
        <v>166.25786472666996</v>
      </c>
      <c r="AE121" s="329">
        <v>172.99432750667455</v>
      </c>
      <c r="AF121" s="329" vm="560">
        <v>39.772319200254742</v>
      </c>
      <c r="AG121" s="329"/>
      <c r="AH121" s="329"/>
      <c r="AI121" s="329"/>
      <c r="AK121"/>
      <c r="AL121"/>
      <c r="AM121"/>
      <c r="AN121"/>
      <c r="AO121"/>
      <c r="AP121"/>
      <c r="AQ121"/>
      <c r="AR121"/>
    </row>
    <row r="122" spans="2:44" ht="15" customHeight="1" x14ac:dyDescent="0.25">
      <c r="B122" s="9" t="s">
        <v>274</v>
      </c>
      <c r="C122" s="9"/>
      <c r="D122" s="9"/>
      <c r="E122" s="9"/>
      <c r="F122" s="9"/>
      <c r="G122" s="9"/>
      <c r="H122" s="9"/>
      <c r="I122" s="9"/>
      <c r="J122" s="9"/>
      <c r="K122" s="9"/>
      <c r="L122" s="302">
        <v>0</v>
      </c>
      <c r="M122" s="302">
        <v>0</v>
      </c>
      <c r="N122" s="302">
        <v>0</v>
      </c>
      <c r="O122" s="302">
        <v>0</v>
      </c>
      <c r="P122" s="302">
        <v>0</v>
      </c>
      <c r="Q122" s="302">
        <v>0</v>
      </c>
      <c r="R122" s="302">
        <v>0</v>
      </c>
      <c r="S122" s="302">
        <v>0</v>
      </c>
      <c r="T122" s="302">
        <v>0</v>
      </c>
      <c r="U122" s="302">
        <v>0</v>
      </c>
      <c r="V122" s="430">
        <v>0</v>
      </c>
      <c r="W122" s="430">
        <v>54.63</v>
      </c>
      <c r="X122" s="329">
        <v>104.21</v>
      </c>
      <c r="Y122" s="430" vm="437">
        <f>+AE122</f>
        <v>98.736964852594824</v>
      </c>
      <c r="Z122" s="430"/>
      <c r="AA122" s="431"/>
      <c r="AB122" s="430" vm="87">
        <v>100.62892624362769</v>
      </c>
      <c r="AC122" s="329" vm="455">
        <v>102.1895194329342</v>
      </c>
      <c r="AD122" s="329" vm="308">
        <v>99.388825786357614</v>
      </c>
      <c r="AE122" s="329" vm="437">
        <v>98.736964852594824</v>
      </c>
      <c r="AF122" s="329" vm="562">
        <v>91.751023263193574</v>
      </c>
      <c r="AG122" s="329"/>
      <c r="AH122" s="329"/>
      <c r="AI122" s="329"/>
      <c r="AK122"/>
      <c r="AL122"/>
      <c r="AM122"/>
      <c r="AN122"/>
      <c r="AO122"/>
      <c r="AP122"/>
      <c r="AQ122"/>
      <c r="AR122"/>
    </row>
    <row r="123" spans="2:44" ht="15" customHeight="1" x14ac:dyDescent="0.25">
      <c r="AK123"/>
      <c r="AL123"/>
      <c r="AM123"/>
      <c r="AN123"/>
      <c r="AO123"/>
      <c r="AP123"/>
      <c r="AQ123"/>
      <c r="AR123"/>
    </row>
    <row r="124" spans="2:44" ht="30" customHeight="1" x14ac:dyDescent="0.25">
      <c r="B124" s="181" t="s">
        <v>3</v>
      </c>
      <c r="C124" s="181"/>
      <c r="D124" s="181"/>
      <c r="E124" s="181"/>
      <c r="F124" s="181"/>
      <c r="G124" s="181"/>
      <c r="H124" s="181"/>
      <c r="I124" s="181"/>
      <c r="J124" s="181"/>
      <c r="K124" s="181"/>
      <c r="L124" s="224"/>
      <c r="M124" s="224"/>
      <c r="N124" s="224"/>
      <c r="O124" s="224"/>
      <c r="P124" s="224"/>
      <c r="Q124" s="224"/>
      <c r="R124" s="224"/>
      <c r="S124" s="224"/>
      <c r="T124" s="224"/>
      <c r="U124" s="224"/>
      <c r="V124" s="225"/>
      <c r="AK124"/>
      <c r="AL124"/>
      <c r="AM124"/>
      <c r="AN124"/>
      <c r="AO124"/>
      <c r="AP124"/>
      <c r="AQ124"/>
      <c r="AR124"/>
    </row>
    <row r="125" spans="2:44" ht="15" customHeight="1" x14ac:dyDescent="0.25">
      <c r="B125" s="169" t="s">
        <v>63</v>
      </c>
      <c r="C125" s="169"/>
      <c r="D125" s="169"/>
      <c r="E125" s="169"/>
      <c r="F125" s="169"/>
      <c r="G125" s="169"/>
      <c r="H125" s="169"/>
      <c r="I125" s="169"/>
      <c r="J125" s="169"/>
      <c r="K125" s="169"/>
      <c r="L125" s="228">
        <v>2010</v>
      </c>
      <c r="M125" s="228">
        <v>2011</v>
      </c>
      <c r="N125" s="228">
        <v>2012</v>
      </c>
      <c r="O125" s="228">
        <v>2013</v>
      </c>
      <c r="P125" s="228">
        <v>2014</v>
      </c>
      <c r="Q125" s="228">
        <v>2015</v>
      </c>
      <c r="R125" s="228">
        <v>2016</v>
      </c>
      <c r="S125" s="228">
        <v>2017</v>
      </c>
      <c r="T125" s="228">
        <v>2018</v>
      </c>
      <c r="U125" s="228">
        <v>2019</v>
      </c>
      <c r="V125" s="228">
        <v>2020</v>
      </c>
      <c r="W125" s="228">
        <v>2021</v>
      </c>
      <c r="X125" s="231">
        <v>2022</v>
      </c>
      <c r="Y125" s="229">
        <v>2023</v>
      </c>
      <c r="Z125" s="230">
        <v>2024</v>
      </c>
      <c r="AB125" s="231" t="s">
        <v>291</v>
      </c>
      <c r="AC125" s="231" t="s">
        <v>292</v>
      </c>
      <c r="AD125" s="231" t="s">
        <v>293</v>
      </c>
      <c r="AE125" s="231">
        <v>2023</v>
      </c>
      <c r="AF125" s="232" t="s">
        <v>318</v>
      </c>
      <c r="AG125" s="232" t="s">
        <v>319</v>
      </c>
      <c r="AH125" s="232" t="s">
        <v>320</v>
      </c>
      <c r="AI125" s="232">
        <v>2024</v>
      </c>
      <c r="AK125" s="231" t="s">
        <v>291</v>
      </c>
      <c r="AL125" s="231" t="s">
        <v>296</v>
      </c>
      <c r="AM125" s="231" t="s">
        <v>294</v>
      </c>
      <c r="AN125" s="231" t="s">
        <v>295</v>
      </c>
      <c r="AO125" s="232" t="s">
        <v>318</v>
      </c>
      <c r="AP125" s="232" t="s">
        <v>321</v>
      </c>
      <c r="AQ125" s="232" t="s">
        <v>322</v>
      </c>
      <c r="AR125" s="232" t="s">
        <v>323</v>
      </c>
    </row>
    <row r="126" spans="2:44" ht="15" customHeight="1" x14ac:dyDescent="0.25">
      <c r="B126" s="131" t="s">
        <v>64</v>
      </c>
      <c r="C126" s="131"/>
      <c r="D126" s="131"/>
      <c r="E126" s="131"/>
      <c r="F126" s="131"/>
      <c r="G126" s="131"/>
      <c r="H126" s="131"/>
      <c r="I126" s="131"/>
      <c r="J126" s="131"/>
      <c r="K126" s="131"/>
      <c r="L126" s="310">
        <v>364.53</v>
      </c>
      <c r="M126" s="310">
        <v>421.61</v>
      </c>
      <c r="N126" s="310">
        <v>456.75</v>
      </c>
      <c r="O126" s="310">
        <v>461.89</v>
      </c>
      <c r="P126" s="310">
        <v>507.6</v>
      </c>
      <c r="Q126" s="310">
        <v>552.98</v>
      </c>
      <c r="R126" s="310">
        <v>561.87</v>
      </c>
      <c r="S126" s="310">
        <v>675.62</v>
      </c>
      <c r="T126" s="310">
        <v>682.44</v>
      </c>
      <c r="U126" s="310">
        <v>728.66</v>
      </c>
      <c r="V126" s="310">
        <v>764.52</v>
      </c>
      <c r="W126" s="310">
        <v>691.21</v>
      </c>
      <c r="X126" s="310">
        <v>756.38</v>
      </c>
      <c r="Y126" s="310">
        <f>AE126</f>
        <v>788.6421383822692</v>
      </c>
      <c r="Z126" s="310"/>
      <c r="AB126" s="310">
        <v>239.39005262328152</v>
      </c>
      <c r="AC126" s="310">
        <v>425.85598507606289</v>
      </c>
      <c r="AD126" s="310">
        <v>589.67694181080685</v>
      </c>
      <c r="AE126" s="310">
        <v>788.6421383822692</v>
      </c>
      <c r="AF126" s="310">
        <v>218.4958218228</v>
      </c>
      <c r="AG126" s="308"/>
      <c r="AH126" s="308"/>
      <c r="AI126" s="308"/>
      <c r="AK126" s="310">
        <f t="shared" ref="AK126:AK135" si="125">AB126</f>
        <v>239.39005262328152</v>
      </c>
      <c r="AL126" s="310">
        <f t="shared" ref="AL126:AL135" si="126">AC126-AB126</f>
        <v>186.46593245278137</v>
      </c>
      <c r="AM126" s="310">
        <f t="shared" ref="AM126:AM135" si="127">AD126-AC126</f>
        <v>163.82095673474396</v>
      </c>
      <c r="AN126" s="310">
        <f t="shared" ref="AN126:AN135" si="128">AE126-AD126</f>
        <v>198.96519657146234</v>
      </c>
      <c r="AO126" s="310">
        <f t="shared" ref="AO126:AO135" si="129">AF126</f>
        <v>218.4958218228</v>
      </c>
      <c r="AP126" s="237"/>
      <c r="AQ126" s="237"/>
      <c r="AR126" s="237"/>
    </row>
    <row r="127" spans="2:44" ht="15" customHeight="1" x14ac:dyDescent="0.25">
      <c r="B127" s="129" t="s">
        <v>65</v>
      </c>
      <c r="C127" s="129"/>
      <c r="D127" s="129"/>
      <c r="E127" s="129"/>
      <c r="F127" s="129"/>
      <c r="G127" s="129"/>
      <c r="H127" s="129"/>
      <c r="I127" s="129"/>
      <c r="J127" s="129"/>
      <c r="K127" s="129"/>
      <c r="L127" s="310">
        <v>141.86000000000001</v>
      </c>
      <c r="M127" s="310">
        <v>155.36000000000001</v>
      </c>
      <c r="N127" s="310">
        <v>163.62</v>
      </c>
      <c r="O127" s="310">
        <v>166.15</v>
      </c>
      <c r="P127" s="310">
        <v>164.2</v>
      </c>
      <c r="Q127" s="310">
        <v>219.15</v>
      </c>
      <c r="R127" s="310">
        <v>218.65</v>
      </c>
      <c r="S127" s="310">
        <v>254.75</v>
      </c>
      <c r="T127" s="310">
        <v>218.69</v>
      </c>
      <c r="U127" s="310">
        <v>203.28</v>
      </c>
      <c r="V127" s="310">
        <v>230.46</v>
      </c>
      <c r="W127" s="310">
        <v>209.59</v>
      </c>
      <c r="X127" s="310">
        <v>245.89</v>
      </c>
      <c r="Y127" s="310">
        <f>AE127</f>
        <v>249.83231633000003</v>
      </c>
      <c r="Z127" s="310"/>
      <c r="AB127" s="310">
        <v>68.124594079999994</v>
      </c>
      <c r="AC127" s="310">
        <v>132.71864915</v>
      </c>
      <c r="AD127" s="310">
        <v>183.14215091999998</v>
      </c>
      <c r="AE127" s="310">
        <v>249.83231633000003</v>
      </c>
      <c r="AF127" s="310">
        <v>79.390238789999998</v>
      </c>
      <c r="AG127" s="308"/>
      <c r="AH127" s="308"/>
      <c r="AI127" s="308"/>
      <c r="AK127" s="310">
        <f t="shared" si="125"/>
        <v>68.124594079999994</v>
      </c>
      <c r="AL127" s="310">
        <f t="shared" si="126"/>
        <v>64.59405507000001</v>
      </c>
      <c r="AM127" s="310">
        <f t="shared" si="127"/>
        <v>50.423501769999973</v>
      </c>
      <c r="AN127" s="310">
        <f t="shared" si="128"/>
        <v>66.690165410000048</v>
      </c>
      <c r="AO127" s="310">
        <f t="shared" si="129"/>
        <v>79.390238789999998</v>
      </c>
      <c r="AP127" s="310"/>
      <c r="AQ127" s="310"/>
      <c r="AR127" s="310"/>
    </row>
    <row r="128" spans="2:44" ht="15" customHeight="1" x14ac:dyDescent="0.25">
      <c r="B128" s="40" t="s">
        <v>16</v>
      </c>
      <c r="C128" s="40"/>
      <c r="D128" s="40"/>
      <c r="E128" s="40"/>
      <c r="F128" s="40"/>
      <c r="G128" s="40"/>
      <c r="H128" s="40"/>
      <c r="I128" s="40"/>
      <c r="J128" s="40"/>
      <c r="K128" s="40"/>
      <c r="L128" s="301">
        <v>506.39</v>
      </c>
      <c r="M128" s="301">
        <v>576.97</v>
      </c>
      <c r="N128" s="301">
        <v>620.37</v>
      </c>
      <c r="O128" s="301">
        <v>628.04</v>
      </c>
      <c r="P128" s="301">
        <v>671.81</v>
      </c>
      <c r="Q128" s="301">
        <v>772.13</v>
      </c>
      <c r="R128" s="301">
        <v>780.52</v>
      </c>
      <c r="S128" s="301">
        <v>930.37</v>
      </c>
      <c r="T128" s="301">
        <v>901.14</v>
      </c>
      <c r="U128" s="301">
        <v>931.94</v>
      </c>
      <c r="V128" s="301">
        <v>994.98</v>
      </c>
      <c r="W128" s="301">
        <v>900.8</v>
      </c>
      <c r="X128" s="301">
        <v>1002.27</v>
      </c>
      <c r="Y128" s="301">
        <f>AE128</f>
        <v>1038.4744547122691</v>
      </c>
      <c r="Z128" s="301"/>
      <c r="AB128" s="301">
        <v>307.51464670328153</v>
      </c>
      <c r="AC128" s="301">
        <v>558.57463422606293</v>
      </c>
      <c r="AD128" s="301">
        <v>772.8190927308068</v>
      </c>
      <c r="AE128" s="301">
        <v>1038.4744547122691</v>
      </c>
      <c r="AF128" s="301">
        <v>297.88606061280001</v>
      </c>
      <c r="AG128" s="341"/>
      <c r="AH128" s="341"/>
      <c r="AI128" s="341"/>
      <c r="AK128" s="301">
        <f t="shared" si="125"/>
        <v>307.51464670328153</v>
      </c>
      <c r="AL128" s="301">
        <f t="shared" si="126"/>
        <v>251.0599875227814</v>
      </c>
      <c r="AM128" s="301">
        <f t="shared" si="127"/>
        <v>214.24445850474387</v>
      </c>
      <c r="AN128" s="301">
        <f t="shared" si="128"/>
        <v>265.65536198146231</v>
      </c>
      <c r="AO128" s="301">
        <f t="shared" si="129"/>
        <v>297.88606061280001</v>
      </c>
      <c r="AP128" s="301"/>
      <c r="AQ128" s="301"/>
      <c r="AR128" s="301"/>
    </row>
    <row r="129" spans="2:44" ht="15" customHeight="1" x14ac:dyDescent="0.25">
      <c r="B129" s="131" t="s">
        <v>66</v>
      </c>
      <c r="C129" s="131"/>
      <c r="D129" s="131"/>
      <c r="E129" s="131"/>
      <c r="F129" s="131"/>
      <c r="G129" s="131"/>
      <c r="H129" s="131"/>
      <c r="I129" s="131"/>
      <c r="J129" s="131"/>
      <c r="K129" s="131"/>
      <c r="L129" s="310">
        <v>61.01</v>
      </c>
      <c r="M129" s="310">
        <v>24.65</v>
      </c>
      <c r="N129" s="310">
        <v>25.43</v>
      </c>
      <c r="O129" s="310">
        <v>39.880000000000003</v>
      </c>
      <c r="P129" s="310">
        <v>22.62</v>
      </c>
      <c r="Q129" s="310">
        <v>21.78</v>
      </c>
      <c r="R129" s="310">
        <v>25.71</v>
      </c>
      <c r="S129" s="310">
        <v>24.97</v>
      </c>
      <c r="T129" s="310">
        <v>175.27</v>
      </c>
      <c r="U129" s="310">
        <v>56.37</v>
      </c>
      <c r="V129" s="310">
        <v>249.64</v>
      </c>
      <c r="W129" s="310">
        <v>331.78</v>
      </c>
      <c r="X129" s="310">
        <v>92.32</v>
      </c>
      <c r="Y129" s="310">
        <f>AE129</f>
        <v>46.185914951717109</v>
      </c>
      <c r="Z129" s="310"/>
      <c r="AB129" s="310">
        <v>12.302630811888022</v>
      </c>
      <c r="AC129" s="310">
        <v>21.468067271083157</v>
      </c>
      <c r="AD129" s="310">
        <v>39.767050432980909</v>
      </c>
      <c r="AE129" s="310">
        <v>46.185914951717109</v>
      </c>
      <c r="AF129" s="310">
        <v>87.439294644599883</v>
      </c>
      <c r="AG129" s="308"/>
      <c r="AH129" s="308"/>
      <c r="AI129" s="308"/>
      <c r="AK129" s="310">
        <f t="shared" si="125"/>
        <v>12.302630811888022</v>
      </c>
      <c r="AL129" s="310">
        <f t="shared" si="126"/>
        <v>9.1654364591951349</v>
      </c>
      <c r="AM129" s="310">
        <f t="shared" si="127"/>
        <v>18.298983161897752</v>
      </c>
      <c r="AN129" s="310">
        <f t="shared" si="128"/>
        <v>6.4188645187361999</v>
      </c>
      <c r="AO129" s="310">
        <f t="shared" si="129"/>
        <v>87.439294644599883</v>
      </c>
      <c r="AP129" s="310"/>
      <c r="AQ129" s="310"/>
      <c r="AR129" s="310"/>
    </row>
    <row r="130" spans="2:44" ht="15" customHeight="1" x14ac:dyDescent="0.25">
      <c r="B130" s="131" t="s">
        <v>67</v>
      </c>
      <c r="C130" s="131"/>
      <c r="D130" s="131"/>
      <c r="E130" s="131"/>
      <c r="F130" s="131"/>
      <c r="G130" s="131"/>
      <c r="H130" s="131"/>
      <c r="I130" s="131"/>
      <c r="J130" s="131"/>
      <c r="K130" s="131"/>
      <c r="L130" s="310">
        <v>185.15</v>
      </c>
      <c r="M130" s="310">
        <v>225.55</v>
      </c>
      <c r="N130" s="310">
        <v>237.67</v>
      </c>
      <c r="O130" s="310">
        <v>230.31</v>
      </c>
      <c r="P130" s="310">
        <v>217.05</v>
      </c>
      <c r="Q130" s="310">
        <v>281.23</v>
      </c>
      <c r="R130" s="310">
        <v>251.11</v>
      </c>
      <c r="S130" s="310">
        <v>279.32</v>
      </c>
      <c r="T130" s="310">
        <v>327.06</v>
      </c>
      <c r="U130" s="310">
        <v>300.22000000000003</v>
      </c>
      <c r="V130" s="310">
        <v>330.67</v>
      </c>
      <c r="W130" s="310">
        <v>355.19</v>
      </c>
      <c r="X130" s="310">
        <v>443.46</v>
      </c>
      <c r="Y130" s="310">
        <f>(AE130)</f>
        <v>486.44095569490861</v>
      </c>
      <c r="Z130" s="310"/>
      <c r="AA130" s="310"/>
      <c r="AB130" s="310">
        <v>139.42012998572136</v>
      </c>
      <c r="AC130" s="310">
        <v>251.75993958680215</v>
      </c>
      <c r="AD130" s="310">
        <v>349.91004195996862</v>
      </c>
      <c r="AE130" s="310">
        <v>486.44095569490861</v>
      </c>
      <c r="AF130" s="310">
        <v>150.5225344582997</v>
      </c>
      <c r="AG130" s="308"/>
      <c r="AH130" s="308"/>
      <c r="AI130" s="308"/>
      <c r="AK130" s="310">
        <f t="shared" si="125"/>
        <v>139.42012998572136</v>
      </c>
      <c r="AL130" s="310">
        <f t="shared" si="126"/>
        <v>112.33980960108079</v>
      </c>
      <c r="AM130" s="310">
        <f t="shared" si="127"/>
        <v>98.150102373166476</v>
      </c>
      <c r="AN130" s="310">
        <f t="shared" si="128"/>
        <v>136.53091373493999</v>
      </c>
      <c r="AO130" s="310">
        <f t="shared" si="129"/>
        <v>150.5225344582997</v>
      </c>
      <c r="AP130" s="310"/>
      <c r="AQ130" s="310"/>
      <c r="AR130" s="310"/>
    </row>
    <row r="131" spans="2:44" ht="15" customHeight="1" x14ac:dyDescent="0.25">
      <c r="B131" s="132" t="s">
        <v>68</v>
      </c>
      <c r="C131" s="132"/>
      <c r="D131" s="132"/>
      <c r="E131" s="132"/>
      <c r="F131" s="132"/>
      <c r="G131" s="132"/>
      <c r="H131" s="132"/>
      <c r="I131" s="132"/>
      <c r="J131" s="132"/>
      <c r="K131" s="132"/>
      <c r="L131" s="310">
        <v>123.33</v>
      </c>
      <c r="M131" s="310">
        <v>140.94999999999999</v>
      </c>
      <c r="N131" s="310">
        <v>149.62</v>
      </c>
      <c r="O131" s="310">
        <v>143.44</v>
      </c>
      <c r="P131" s="310">
        <v>144.51</v>
      </c>
      <c r="Q131" s="310">
        <v>149.02000000000001</v>
      </c>
      <c r="R131" s="310">
        <v>154.38999999999999</v>
      </c>
      <c r="S131" s="310">
        <v>176.05</v>
      </c>
      <c r="T131" s="310">
        <v>189.3</v>
      </c>
      <c r="U131" s="310">
        <v>165.9</v>
      </c>
      <c r="V131" s="310">
        <v>186.47</v>
      </c>
      <c r="W131" s="310">
        <v>185.33</v>
      </c>
      <c r="X131" s="310">
        <v>213.13</v>
      </c>
      <c r="Y131" s="310">
        <f>(AE131)</f>
        <v>231.97628973043959</v>
      </c>
      <c r="Z131" s="310"/>
      <c r="AA131" s="310"/>
      <c r="AB131" s="310">
        <v>57.197964585858713</v>
      </c>
      <c r="AC131" s="310">
        <v>113.15943060728543</v>
      </c>
      <c r="AD131" s="310">
        <v>171.42304505481124</v>
      </c>
      <c r="AE131" s="310">
        <v>231.97628973043959</v>
      </c>
      <c r="AF131" s="310">
        <v>57.540938394799781</v>
      </c>
      <c r="AG131" s="308"/>
      <c r="AH131" s="308"/>
      <c r="AI131" s="308"/>
      <c r="AK131" s="310">
        <f t="shared" si="125"/>
        <v>57.197964585858713</v>
      </c>
      <c r="AL131" s="310">
        <f t="shared" si="126"/>
        <v>55.961466021426716</v>
      </c>
      <c r="AM131" s="310">
        <f t="shared" si="127"/>
        <v>58.263614447525811</v>
      </c>
      <c r="AN131" s="310">
        <f t="shared" si="128"/>
        <v>60.553244675628349</v>
      </c>
      <c r="AO131" s="310">
        <f t="shared" si="129"/>
        <v>57.540938394799781</v>
      </c>
      <c r="AP131" s="310"/>
      <c r="AQ131" s="310"/>
      <c r="AR131" s="310"/>
    </row>
    <row r="132" spans="2:44" ht="15" customHeight="1" x14ac:dyDescent="0.25">
      <c r="B132" s="132" t="s">
        <v>69</v>
      </c>
      <c r="C132" s="132"/>
      <c r="D132" s="132"/>
      <c r="E132" s="132"/>
      <c r="F132" s="132"/>
      <c r="G132" s="132"/>
      <c r="H132" s="132"/>
      <c r="I132" s="132"/>
      <c r="J132" s="132"/>
      <c r="K132" s="132"/>
      <c r="L132" s="310">
        <v>32.26</v>
      </c>
      <c r="M132" s="310">
        <v>36.1</v>
      </c>
      <c r="N132" s="310">
        <v>37.28</v>
      </c>
      <c r="O132" s="310">
        <v>38.21</v>
      </c>
      <c r="P132" s="310">
        <v>36.96</v>
      </c>
      <c r="Q132" s="310">
        <v>44.57</v>
      </c>
      <c r="R132" s="310">
        <v>48.56</v>
      </c>
      <c r="S132" s="310">
        <v>56.61</v>
      </c>
      <c r="T132" s="310">
        <v>68.78</v>
      </c>
      <c r="U132" s="310">
        <v>70.86</v>
      </c>
      <c r="V132" s="310">
        <v>86.97</v>
      </c>
      <c r="W132" s="310">
        <v>105.78</v>
      </c>
      <c r="X132" s="310">
        <v>131.04</v>
      </c>
      <c r="Y132" s="310">
        <f>(AE132)</f>
        <v>126.62516136396385</v>
      </c>
      <c r="Z132" s="310"/>
      <c r="AA132" s="310"/>
      <c r="AB132" s="310">
        <v>31.004011491314518</v>
      </c>
      <c r="AC132" s="310">
        <v>61.097432363431267</v>
      </c>
      <c r="AD132" s="310">
        <v>92.406518011379447</v>
      </c>
      <c r="AE132" s="310">
        <v>126.62516136396385</v>
      </c>
      <c r="AF132" s="310">
        <v>29.860640490499957</v>
      </c>
      <c r="AG132" s="308"/>
      <c r="AH132" s="308"/>
      <c r="AI132" s="308"/>
      <c r="AK132" s="310">
        <f t="shared" si="125"/>
        <v>31.004011491314518</v>
      </c>
      <c r="AL132" s="310">
        <f t="shared" si="126"/>
        <v>30.093420872116749</v>
      </c>
      <c r="AM132" s="310">
        <f t="shared" si="127"/>
        <v>31.30908564794818</v>
      </c>
      <c r="AN132" s="310">
        <f t="shared" si="128"/>
        <v>34.218643352584408</v>
      </c>
      <c r="AO132" s="310">
        <f t="shared" si="129"/>
        <v>29.860640490499957</v>
      </c>
      <c r="AP132" s="310"/>
      <c r="AQ132" s="310"/>
      <c r="AR132" s="310"/>
    </row>
    <row r="133" spans="2:44" ht="15" customHeight="1" x14ac:dyDescent="0.25">
      <c r="B133" s="132" t="s">
        <v>70</v>
      </c>
      <c r="C133" s="132"/>
      <c r="D133" s="132"/>
      <c r="E133" s="132"/>
      <c r="F133" s="132"/>
      <c r="G133" s="132"/>
      <c r="H133" s="132"/>
      <c r="I133" s="132"/>
      <c r="J133" s="132"/>
      <c r="K133" s="132"/>
      <c r="L133" s="310">
        <v>29.57</v>
      </c>
      <c r="M133" s="310">
        <v>48.5</v>
      </c>
      <c r="N133" s="310">
        <v>50.77</v>
      </c>
      <c r="O133" s="310">
        <v>48.66</v>
      </c>
      <c r="P133" s="310">
        <v>35.58</v>
      </c>
      <c r="Q133" s="310">
        <v>87.64</v>
      </c>
      <c r="R133" s="310">
        <v>48.16</v>
      </c>
      <c r="S133" s="310">
        <v>46.66</v>
      </c>
      <c r="T133" s="310">
        <v>68.98</v>
      </c>
      <c r="U133" s="310">
        <v>63.46</v>
      </c>
      <c r="V133" s="310">
        <v>57.23</v>
      </c>
      <c r="W133" s="310">
        <v>64.08</v>
      </c>
      <c r="X133" s="310">
        <v>99.29</v>
      </c>
      <c r="Y133" s="310">
        <f>(AE133)</f>
        <v>127.83950460050518</v>
      </c>
      <c r="Z133" s="310"/>
      <c r="AA133" s="310"/>
      <c r="AB133" s="310">
        <v>51.218153908548118</v>
      </c>
      <c r="AC133" s="310">
        <v>77.503076616085451</v>
      </c>
      <c r="AD133" s="310">
        <v>86.080478893777908</v>
      </c>
      <c r="AE133" s="310">
        <v>127.83950460050518</v>
      </c>
      <c r="AF133" s="310">
        <v>63.120955572999968</v>
      </c>
      <c r="AG133" s="308"/>
      <c r="AH133" s="308"/>
      <c r="AI133" s="308"/>
      <c r="AK133" s="310">
        <f t="shared" si="125"/>
        <v>51.218153908548118</v>
      </c>
      <c r="AL133" s="310">
        <f t="shared" si="126"/>
        <v>26.284922707537334</v>
      </c>
      <c r="AM133" s="310">
        <f t="shared" si="127"/>
        <v>8.5774022776924568</v>
      </c>
      <c r="AN133" s="310">
        <f t="shared" si="128"/>
        <v>41.759025706727272</v>
      </c>
      <c r="AO133" s="310">
        <f t="shared" si="129"/>
        <v>63.120955572999968</v>
      </c>
      <c r="AP133" s="310"/>
      <c r="AQ133" s="310"/>
      <c r="AR133" s="310"/>
    </row>
    <row r="134" spans="2:44" ht="15" customHeight="1" x14ac:dyDescent="0.25">
      <c r="B134" s="131" t="s">
        <v>71</v>
      </c>
      <c r="C134" s="131"/>
      <c r="D134" s="131"/>
      <c r="E134" s="131"/>
      <c r="F134" s="131"/>
      <c r="G134" s="131"/>
      <c r="H134" s="131"/>
      <c r="I134" s="131"/>
      <c r="J134" s="131"/>
      <c r="K134" s="131"/>
      <c r="L134" s="310">
        <v>0</v>
      </c>
      <c r="M134" s="310">
        <v>0</v>
      </c>
      <c r="N134" s="310">
        <v>0</v>
      </c>
      <c r="O134" s="310">
        <v>0</v>
      </c>
      <c r="P134" s="310">
        <v>0</v>
      </c>
      <c r="Q134" s="310">
        <v>0</v>
      </c>
      <c r="R134" s="310">
        <v>0</v>
      </c>
      <c r="S134" s="310">
        <v>0</v>
      </c>
      <c r="T134" s="310">
        <v>0</v>
      </c>
      <c r="U134" s="310">
        <v>0</v>
      </c>
      <c r="V134" s="310">
        <v>-0.21</v>
      </c>
      <c r="W134" s="310">
        <v>17.920000000000002</v>
      </c>
      <c r="X134" s="310">
        <v>37.18</v>
      </c>
      <c r="Y134" s="310">
        <f>AE134</f>
        <v>32.920137364999995</v>
      </c>
      <c r="Z134" s="310"/>
      <c r="AB134" s="310">
        <v>5.7501443849999996</v>
      </c>
      <c r="AC134" s="310">
        <v>17.344773649999997</v>
      </c>
      <c r="AD134" s="310">
        <v>20.436850524999997</v>
      </c>
      <c r="AE134" s="310">
        <v>32.920137364999995</v>
      </c>
      <c r="AF134" s="310">
        <v>6.8949649659000034</v>
      </c>
      <c r="AG134" s="308"/>
      <c r="AH134" s="308"/>
      <c r="AI134" s="308"/>
      <c r="AK134" s="310">
        <f t="shared" si="125"/>
        <v>5.7501443849999996</v>
      </c>
      <c r="AL134" s="310">
        <f t="shared" si="126"/>
        <v>11.594629264999998</v>
      </c>
      <c r="AM134" s="310">
        <f t="shared" si="127"/>
        <v>3.0920768750000001</v>
      </c>
      <c r="AN134" s="310">
        <f t="shared" si="128"/>
        <v>12.483286839999998</v>
      </c>
      <c r="AO134" s="310">
        <f t="shared" si="129"/>
        <v>6.8949649659000034</v>
      </c>
      <c r="AP134" s="310"/>
      <c r="AQ134" s="310"/>
      <c r="AR134" s="310"/>
    </row>
    <row r="135" spans="2:44" ht="15" customHeight="1" x14ac:dyDescent="0.25">
      <c r="B135" s="40" t="s">
        <v>72</v>
      </c>
      <c r="C135" s="40"/>
      <c r="D135" s="40"/>
      <c r="E135" s="40"/>
      <c r="F135" s="40"/>
      <c r="G135" s="40"/>
      <c r="H135" s="40"/>
      <c r="I135" s="40"/>
      <c r="J135" s="40"/>
      <c r="K135" s="40"/>
      <c r="L135" s="301">
        <v>382.25</v>
      </c>
      <c r="M135" s="301">
        <v>376.07</v>
      </c>
      <c r="N135" s="301">
        <v>408.13</v>
      </c>
      <c r="O135" s="301">
        <v>437.6</v>
      </c>
      <c r="P135" s="301">
        <v>477.38</v>
      </c>
      <c r="Q135" s="301">
        <v>512.66999999999996</v>
      </c>
      <c r="R135" s="301">
        <v>555.11</v>
      </c>
      <c r="S135" s="301">
        <v>676.02</v>
      </c>
      <c r="T135" s="301">
        <v>749.34</v>
      </c>
      <c r="U135" s="301">
        <v>688.09</v>
      </c>
      <c r="V135" s="301">
        <v>913.73</v>
      </c>
      <c r="W135" s="301">
        <v>895.31</v>
      </c>
      <c r="X135" s="301">
        <v>688.32</v>
      </c>
      <c r="Y135" s="301">
        <f>AE135</f>
        <v>631.13955133407762</v>
      </c>
      <c r="Z135" s="301"/>
      <c r="AB135" s="301">
        <v>186.14729191444818</v>
      </c>
      <c r="AC135" s="301">
        <v>345.62753556034392</v>
      </c>
      <c r="AD135" s="301">
        <v>483.11295172881916</v>
      </c>
      <c r="AE135" s="301">
        <v>631.13955133407762</v>
      </c>
      <c r="AF135" s="301">
        <v>241.69778576500011</v>
      </c>
      <c r="AG135" s="341"/>
      <c r="AH135" s="341"/>
      <c r="AI135" s="341"/>
      <c r="AK135" s="301">
        <f t="shared" si="125"/>
        <v>186.14729191444818</v>
      </c>
      <c r="AL135" s="301">
        <f t="shared" si="126"/>
        <v>159.48024364589574</v>
      </c>
      <c r="AM135" s="301">
        <f t="shared" si="127"/>
        <v>137.48541616847524</v>
      </c>
      <c r="AN135" s="301">
        <f t="shared" si="128"/>
        <v>148.02659960525847</v>
      </c>
      <c r="AO135" s="301">
        <f t="shared" si="129"/>
        <v>241.69778576500011</v>
      </c>
      <c r="AP135" s="301"/>
      <c r="AQ135" s="301"/>
      <c r="AR135" s="301"/>
    </row>
    <row r="136" spans="2:44" ht="15" customHeight="1" x14ac:dyDescent="0.25">
      <c r="B136" s="133" t="s">
        <v>73</v>
      </c>
      <c r="C136" s="133"/>
      <c r="D136" s="133"/>
      <c r="E136" s="133"/>
      <c r="F136" s="133"/>
      <c r="G136" s="133"/>
      <c r="H136" s="133"/>
      <c r="I136" s="133"/>
      <c r="J136" s="133"/>
      <c r="K136" s="133"/>
      <c r="L136" s="330">
        <v>0.75</v>
      </c>
      <c r="M136" s="330">
        <v>0.65</v>
      </c>
      <c r="N136" s="330">
        <v>0.66</v>
      </c>
      <c r="O136" s="330">
        <v>0.7</v>
      </c>
      <c r="P136" s="330">
        <v>0.71</v>
      </c>
      <c r="Q136" s="330">
        <v>0.66</v>
      </c>
      <c r="R136" s="330">
        <v>0.71</v>
      </c>
      <c r="S136" s="330">
        <v>0.73</v>
      </c>
      <c r="T136" s="330">
        <v>0.83</v>
      </c>
      <c r="U136" s="330">
        <v>0.74</v>
      </c>
      <c r="V136" s="330">
        <v>0.92</v>
      </c>
      <c r="W136" s="330">
        <v>0.99</v>
      </c>
      <c r="X136" s="330">
        <v>0.69</v>
      </c>
      <c r="Y136" s="330">
        <f>AE136</f>
        <v>0.60775645319936922</v>
      </c>
      <c r="Z136" s="330"/>
      <c r="AB136" s="330">
        <v>0.60532821415189453</v>
      </c>
      <c r="AC136" s="330">
        <v>0.61876697290278959</v>
      </c>
      <c r="AD136" s="330">
        <v>0.62513071464333003</v>
      </c>
      <c r="AE136" s="330">
        <v>0.60775645319936922</v>
      </c>
      <c r="AF136" s="330">
        <v>0.81137662255087906</v>
      </c>
      <c r="AG136" s="466"/>
      <c r="AH136" s="466"/>
      <c r="AI136" s="466"/>
      <c r="AK136" s="330"/>
      <c r="AL136" s="330"/>
      <c r="AM136" s="330"/>
      <c r="AN136" s="330"/>
      <c r="AO136" s="330"/>
      <c r="AP136" s="330"/>
      <c r="AQ136" s="330"/>
      <c r="AR136" s="330"/>
    </row>
    <row r="137" spans="2:44" ht="15" customHeight="1" x14ac:dyDescent="0.25">
      <c r="B137" s="130" t="s">
        <v>74</v>
      </c>
      <c r="C137" s="130"/>
      <c r="D137" s="130"/>
      <c r="E137" s="130"/>
      <c r="F137" s="130"/>
      <c r="G137" s="130"/>
      <c r="H137" s="130"/>
      <c r="I137" s="130"/>
      <c r="J137" s="130"/>
      <c r="K137" s="130"/>
      <c r="L137" s="310">
        <v>0</v>
      </c>
      <c r="M137" s="310">
        <v>0</v>
      </c>
      <c r="N137" s="310">
        <v>0</v>
      </c>
      <c r="O137" s="310">
        <v>1.55</v>
      </c>
      <c r="P137" s="310">
        <v>0</v>
      </c>
      <c r="Q137" s="310">
        <v>-0.21</v>
      </c>
      <c r="R137" s="310">
        <v>-0.1</v>
      </c>
      <c r="S137" s="310">
        <v>-0.41</v>
      </c>
      <c r="T137" s="310">
        <v>-0.34</v>
      </c>
      <c r="U137" s="310">
        <v>0</v>
      </c>
      <c r="V137" s="310">
        <v>0</v>
      </c>
      <c r="W137" s="310">
        <v>0.92</v>
      </c>
      <c r="X137" s="310">
        <v>-0.08</v>
      </c>
      <c r="Y137" s="310">
        <f>(AE137)</f>
        <v>-0.34</v>
      </c>
      <c r="Z137" s="310"/>
      <c r="AB137" s="310">
        <v>0</v>
      </c>
      <c r="AC137" s="310">
        <v>0</v>
      </c>
      <c r="AD137" s="310">
        <v>0</v>
      </c>
      <c r="AE137" s="310">
        <v>-0.34</v>
      </c>
      <c r="AF137" s="310">
        <v>0</v>
      </c>
      <c r="AG137" s="308"/>
      <c r="AH137" s="308"/>
      <c r="AI137" s="308"/>
      <c r="AK137" s="310">
        <f>AB137</f>
        <v>0</v>
      </c>
      <c r="AL137" s="310">
        <f t="shared" ref="AL137:AN140" si="130">AC137-AB137</f>
        <v>0</v>
      </c>
      <c r="AM137" s="310">
        <f t="shared" si="130"/>
        <v>0</v>
      </c>
      <c r="AN137" s="310">
        <f t="shared" si="130"/>
        <v>-0.34</v>
      </c>
      <c r="AO137" s="310">
        <f>AF137</f>
        <v>0</v>
      </c>
      <c r="AP137" s="310"/>
      <c r="AQ137" s="310"/>
      <c r="AR137" s="310"/>
    </row>
    <row r="138" spans="2:44" ht="15" customHeight="1" x14ac:dyDescent="0.25">
      <c r="B138" s="130" t="s">
        <v>75</v>
      </c>
      <c r="C138" s="130"/>
      <c r="D138" s="130"/>
      <c r="E138" s="130"/>
      <c r="F138" s="130"/>
      <c r="G138" s="130"/>
      <c r="H138" s="130"/>
      <c r="I138" s="130"/>
      <c r="J138" s="130"/>
      <c r="K138" s="130"/>
      <c r="L138" s="310">
        <v>294.66000000000003</v>
      </c>
      <c r="M138" s="310">
        <v>291.83</v>
      </c>
      <c r="N138" s="310">
        <v>299.94</v>
      </c>
      <c r="O138" s="310">
        <v>287.94</v>
      </c>
      <c r="P138" s="310">
        <v>292.08</v>
      </c>
      <c r="Q138" s="310">
        <v>319.56</v>
      </c>
      <c r="R138" s="310">
        <v>343.13</v>
      </c>
      <c r="S138" s="310">
        <v>310.61</v>
      </c>
      <c r="T138" s="310">
        <v>340.96</v>
      </c>
      <c r="U138" s="310">
        <v>373.02</v>
      </c>
      <c r="V138" s="310">
        <v>428.2</v>
      </c>
      <c r="W138" s="310">
        <v>414.58</v>
      </c>
      <c r="X138" s="310">
        <v>438.91</v>
      </c>
      <c r="Y138" s="310">
        <f>(AE138)</f>
        <v>478.19665850377913</v>
      </c>
      <c r="Z138" s="310"/>
      <c r="AB138" s="310">
        <v>110.10513432116841</v>
      </c>
      <c r="AC138" s="310">
        <v>221.75292914992275</v>
      </c>
      <c r="AD138" s="310">
        <v>333.76867530427904</v>
      </c>
      <c r="AE138" s="310">
        <v>478.19665850377913</v>
      </c>
      <c r="AF138" s="310">
        <v>118.95608326770001</v>
      </c>
      <c r="AG138" s="308"/>
      <c r="AH138" s="308"/>
      <c r="AI138" s="308"/>
      <c r="AK138" s="310">
        <f>AB138</f>
        <v>110.10513432116841</v>
      </c>
      <c r="AL138" s="310">
        <f t="shared" si="130"/>
        <v>111.64779482875434</v>
      </c>
      <c r="AM138" s="310">
        <f t="shared" si="130"/>
        <v>112.01574615435629</v>
      </c>
      <c r="AN138" s="310">
        <f t="shared" si="130"/>
        <v>144.42798319950009</v>
      </c>
      <c r="AO138" s="310">
        <f>AF138</f>
        <v>118.95608326770001</v>
      </c>
      <c r="AP138" s="310"/>
      <c r="AQ138" s="310"/>
      <c r="AR138" s="310"/>
    </row>
    <row r="139" spans="2:44" ht="15" customHeight="1" x14ac:dyDescent="0.25">
      <c r="B139" s="130" t="s">
        <v>76</v>
      </c>
      <c r="C139" s="130"/>
      <c r="D139" s="130"/>
      <c r="E139" s="130"/>
      <c r="F139" s="130"/>
      <c r="G139" s="130"/>
      <c r="H139" s="130"/>
      <c r="I139" s="130"/>
      <c r="J139" s="130"/>
      <c r="K139" s="130"/>
      <c r="L139" s="310">
        <v>13.08</v>
      </c>
      <c r="M139" s="310">
        <v>19.059999999999999</v>
      </c>
      <c r="N139" s="310">
        <v>18.13</v>
      </c>
      <c r="O139" s="310">
        <v>23.08</v>
      </c>
      <c r="P139" s="310">
        <v>23.09</v>
      </c>
      <c r="Q139" s="310">
        <v>23.11</v>
      </c>
      <c r="R139" s="310">
        <v>23.11</v>
      </c>
      <c r="S139" s="310">
        <v>18.23</v>
      </c>
      <c r="T139" s="310">
        <v>18.23</v>
      </c>
      <c r="U139" s="310">
        <v>18.23</v>
      </c>
      <c r="V139" s="310">
        <v>18.23</v>
      </c>
      <c r="W139" s="310">
        <v>18.23</v>
      </c>
      <c r="X139" s="310">
        <v>18.36</v>
      </c>
      <c r="Y139" s="310">
        <f>AE139</f>
        <v>0</v>
      </c>
      <c r="Z139" s="310"/>
      <c r="AB139" s="310">
        <v>4.6058062724997901</v>
      </c>
      <c r="AC139" s="310">
        <v>9.2226896722619838</v>
      </c>
      <c r="AD139" s="310">
        <v>13.84886931735987</v>
      </c>
      <c r="AE139" s="310">
        <v>0</v>
      </c>
      <c r="AF139" s="310">
        <v>4.6395285599999996</v>
      </c>
      <c r="AG139" s="308"/>
      <c r="AH139" s="308"/>
      <c r="AI139" s="308"/>
      <c r="AK139" s="310">
        <f>AB139</f>
        <v>4.6058062724997901</v>
      </c>
      <c r="AL139" s="310">
        <f t="shared" si="130"/>
        <v>4.6168833997621936</v>
      </c>
      <c r="AM139" s="310">
        <f t="shared" si="130"/>
        <v>4.6261796450978867</v>
      </c>
      <c r="AN139" s="310">
        <f t="shared" si="130"/>
        <v>-13.84886931735987</v>
      </c>
      <c r="AO139" s="310">
        <f>AF139</f>
        <v>4.6395285599999996</v>
      </c>
      <c r="AP139" s="310"/>
      <c r="AQ139" s="310"/>
      <c r="AR139" s="310"/>
    </row>
    <row r="140" spans="2:44" ht="15" customHeight="1" x14ac:dyDescent="0.25">
      <c r="B140" s="6" t="s">
        <v>77</v>
      </c>
      <c r="C140" s="6"/>
      <c r="D140" s="6"/>
      <c r="E140" s="6"/>
      <c r="F140" s="6"/>
      <c r="G140" s="6"/>
      <c r="H140" s="6"/>
      <c r="I140" s="6"/>
      <c r="J140" s="6"/>
      <c r="K140" s="6"/>
      <c r="L140" s="301">
        <v>100.67</v>
      </c>
      <c r="M140" s="301">
        <v>103.3</v>
      </c>
      <c r="N140" s="301">
        <v>126.32</v>
      </c>
      <c r="O140" s="301">
        <v>171.19</v>
      </c>
      <c r="P140" s="301">
        <v>208.4</v>
      </c>
      <c r="Q140" s="301">
        <v>216.44</v>
      </c>
      <c r="R140" s="301">
        <v>235.2</v>
      </c>
      <c r="S140" s="301">
        <v>384.06</v>
      </c>
      <c r="T140" s="301">
        <v>426.95</v>
      </c>
      <c r="U140" s="301">
        <v>333.3</v>
      </c>
      <c r="V140" s="301">
        <v>503.76</v>
      </c>
      <c r="W140" s="301">
        <v>498.04</v>
      </c>
      <c r="X140" s="301">
        <v>267.87</v>
      </c>
      <c r="Y140" s="301">
        <f>AE140</f>
        <v>153.28289283029849</v>
      </c>
      <c r="Z140" s="301"/>
      <c r="AB140" s="301">
        <v>80.648089431851574</v>
      </c>
      <c r="AC140" s="301">
        <v>133.09756816156738</v>
      </c>
      <c r="AD140" s="301">
        <v>163.19380799017091</v>
      </c>
      <c r="AE140" s="301">
        <v>153.28289283029849</v>
      </c>
      <c r="AF140" s="301">
        <v>127.38123105730021</v>
      </c>
      <c r="AG140" s="341"/>
      <c r="AH140" s="341"/>
      <c r="AI140" s="341"/>
      <c r="AK140" s="301">
        <f>AB140</f>
        <v>80.648089431851574</v>
      </c>
      <c r="AL140" s="301">
        <f t="shared" si="130"/>
        <v>52.449478729715807</v>
      </c>
      <c r="AM140" s="301">
        <f t="shared" si="130"/>
        <v>30.09623982860353</v>
      </c>
      <c r="AN140" s="301">
        <f t="shared" si="130"/>
        <v>-9.9109151598724168</v>
      </c>
      <c r="AO140" s="301">
        <f>AF140</f>
        <v>127.38123105730021</v>
      </c>
      <c r="AP140" s="301"/>
      <c r="AQ140" s="301"/>
      <c r="AR140" s="301"/>
    </row>
    <row r="141" spans="2:44" ht="15" customHeight="1" x14ac:dyDescent="0.25">
      <c r="B141" s="130"/>
      <c r="C141" s="130"/>
      <c r="D141" s="130"/>
      <c r="E141" s="130"/>
      <c r="F141" s="130"/>
      <c r="G141" s="130"/>
      <c r="H141" s="130"/>
      <c r="I141" s="130"/>
      <c r="J141" s="130"/>
      <c r="K141" s="130"/>
      <c r="L141" s="251"/>
      <c r="M141" s="251"/>
      <c r="N141" s="251"/>
      <c r="O141" s="251"/>
      <c r="P141" s="251"/>
      <c r="Q141" s="313"/>
      <c r="R141" s="313"/>
      <c r="S141" s="313"/>
      <c r="T141" s="313"/>
      <c r="U141" s="313"/>
    </row>
    <row r="142" spans="2:44" ht="15" customHeight="1" x14ac:dyDescent="0.25">
      <c r="B142" s="169" t="s">
        <v>40</v>
      </c>
      <c r="C142" s="169"/>
      <c r="D142" s="169"/>
      <c r="E142" s="169"/>
      <c r="F142" s="169"/>
      <c r="G142" s="169"/>
      <c r="H142" s="169"/>
      <c r="I142" s="169"/>
      <c r="J142" s="169"/>
      <c r="K142" s="169"/>
      <c r="L142" s="228">
        <v>2010</v>
      </c>
      <c r="M142" s="228">
        <v>2011</v>
      </c>
      <c r="N142" s="228">
        <v>2012</v>
      </c>
      <c r="O142" s="228">
        <v>2013</v>
      </c>
      <c r="P142" s="228">
        <v>2014</v>
      </c>
      <c r="Q142" s="228">
        <v>2015</v>
      </c>
      <c r="R142" s="228">
        <v>2016</v>
      </c>
      <c r="S142" s="228">
        <v>2017</v>
      </c>
      <c r="T142" s="228">
        <v>2018</v>
      </c>
      <c r="U142" s="228">
        <v>2019</v>
      </c>
      <c r="V142" s="228">
        <v>2020</v>
      </c>
      <c r="W142" s="228">
        <v>2021</v>
      </c>
      <c r="X142" s="231">
        <v>2022</v>
      </c>
      <c r="Y142" s="229">
        <v>2023</v>
      </c>
      <c r="Z142" s="230">
        <v>2024</v>
      </c>
      <c r="AB142" s="231" t="s">
        <v>291</v>
      </c>
      <c r="AC142" s="231" t="s">
        <v>292</v>
      </c>
      <c r="AD142" s="231" t="s">
        <v>293</v>
      </c>
      <c r="AE142" s="231">
        <v>2023</v>
      </c>
      <c r="AF142" s="232" t="s">
        <v>318</v>
      </c>
      <c r="AG142" s="232" t="s">
        <v>319</v>
      </c>
      <c r="AH142" s="232" t="s">
        <v>320</v>
      </c>
      <c r="AI142" s="232">
        <v>2024</v>
      </c>
      <c r="AK142" s="231" t="s">
        <v>291</v>
      </c>
      <c r="AL142" s="231" t="s">
        <v>296</v>
      </c>
      <c r="AM142" s="231" t="s">
        <v>294</v>
      </c>
      <c r="AN142" s="231" t="s">
        <v>295</v>
      </c>
      <c r="AO142" s="232" t="s">
        <v>318</v>
      </c>
      <c r="AP142" s="232" t="s">
        <v>321</v>
      </c>
      <c r="AQ142" s="232" t="s">
        <v>322</v>
      </c>
      <c r="AR142" s="232" t="s">
        <v>323</v>
      </c>
    </row>
    <row r="143" spans="2:44" ht="15" customHeight="1" x14ac:dyDescent="0.25">
      <c r="B143" s="131" t="s">
        <v>64</v>
      </c>
      <c r="C143" s="131"/>
      <c r="D143" s="131"/>
      <c r="E143" s="131"/>
      <c r="F143" s="131"/>
      <c r="G143" s="131"/>
      <c r="H143" s="131"/>
      <c r="I143" s="131"/>
      <c r="J143" s="131"/>
      <c r="K143" s="131"/>
      <c r="L143" s="310">
        <v>276.49</v>
      </c>
      <c r="M143" s="310">
        <v>306.35000000000002</v>
      </c>
      <c r="N143" s="310">
        <v>355.5</v>
      </c>
      <c r="O143" s="310">
        <v>347.79</v>
      </c>
      <c r="P143" s="310">
        <v>382.03</v>
      </c>
      <c r="Q143" s="310">
        <v>498.22</v>
      </c>
      <c r="R143" s="310">
        <v>507.64</v>
      </c>
      <c r="S143" s="310">
        <v>598.22</v>
      </c>
      <c r="T143" s="310">
        <v>577.84</v>
      </c>
      <c r="U143" s="310">
        <v>650.83000000000004</v>
      </c>
      <c r="V143" s="310">
        <v>669.39</v>
      </c>
      <c r="W143" s="310">
        <v>584.41999999999996</v>
      </c>
      <c r="X143" s="310">
        <v>718.3</v>
      </c>
      <c r="Y143" s="310">
        <f>AE143</f>
        <v>729.37016586400159</v>
      </c>
      <c r="Z143" s="310"/>
      <c r="AB143" s="310">
        <v>223.10259674900038</v>
      </c>
      <c r="AC143" s="310">
        <v>394.07200699780003</v>
      </c>
      <c r="AD143" s="310">
        <v>544.33927107809973</v>
      </c>
      <c r="AE143" s="310">
        <v>729.37016586400159</v>
      </c>
      <c r="AF143" s="310">
        <v>201.23289001309999</v>
      </c>
      <c r="AG143" s="308"/>
      <c r="AH143" s="308"/>
      <c r="AI143" s="308"/>
      <c r="AK143" s="310">
        <f t="shared" ref="AK143:AK152" si="131">AB143</f>
        <v>223.10259674900038</v>
      </c>
      <c r="AL143" s="310">
        <f t="shared" ref="AL143:AL157" si="132">AC143-AB143</f>
        <v>170.96941024879965</v>
      </c>
      <c r="AM143" s="310">
        <f t="shared" ref="AM143:AM157" si="133">AD143-AC143</f>
        <v>150.2672640802997</v>
      </c>
      <c r="AN143" s="310">
        <f t="shared" ref="AN143:AN157" si="134">AE143-AD143</f>
        <v>185.03089478590186</v>
      </c>
      <c r="AO143" s="310">
        <f t="shared" ref="AO143:AO152" si="135">AF143</f>
        <v>201.23289001309999</v>
      </c>
      <c r="AP143" s="310"/>
      <c r="AQ143" s="310"/>
      <c r="AR143" s="310"/>
    </row>
    <row r="144" spans="2:44" ht="15" customHeight="1" x14ac:dyDescent="0.25">
      <c r="B144" s="129" t="s">
        <v>65</v>
      </c>
      <c r="C144" s="129"/>
      <c r="D144" s="129"/>
      <c r="E144" s="129"/>
      <c r="F144" s="129"/>
      <c r="G144" s="129"/>
      <c r="H144" s="129"/>
      <c r="I144" s="129"/>
      <c r="J144" s="129"/>
      <c r="K144" s="129"/>
      <c r="L144" s="310">
        <v>107.01</v>
      </c>
      <c r="M144" s="310">
        <v>111.61</v>
      </c>
      <c r="N144" s="310">
        <v>127.35</v>
      </c>
      <c r="O144" s="310">
        <v>125.1</v>
      </c>
      <c r="P144" s="310">
        <v>123.58</v>
      </c>
      <c r="Q144" s="310">
        <v>197.44</v>
      </c>
      <c r="R144" s="310">
        <v>197.54</v>
      </c>
      <c r="S144" s="310">
        <v>225.57</v>
      </c>
      <c r="T144" s="310">
        <v>185.17</v>
      </c>
      <c r="U144" s="310">
        <v>181.57</v>
      </c>
      <c r="V144" s="310">
        <v>201.78</v>
      </c>
      <c r="W144" s="310">
        <v>177.2</v>
      </c>
      <c r="X144" s="310">
        <v>233.5</v>
      </c>
      <c r="Y144" s="310">
        <f>AE144</f>
        <v>231.05473169010003</v>
      </c>
      <c r="Z144" s="310"/>
      <c r="AB144" s="310">
        <v>63.489480952800029</v>
      </c>
      <c r="AC144" s="310">
        <v>122.81292656780002</v>
      </c>
      <c r="AD144" s="310">
        <v>169.06074324169998</v>
      </c>
      <c r="AE144" s="310">
        <v>231.05473169010003</v>
      </c>
      <c r="AF144" s="310">
        <v>73.117691371900023</v>
      </c>
      <c r="AG144" s="308"/>
      <c r="AH144" s="308"/>
      <c r="AI144" s="308"/>
      <c r="AK144" s="310">
        <f t="shared" si="131"/>
        <v>63.489480952800029</v>
      </c>
      <c r="AL144" s="310">
        <f t="shared" si="132"/>
        <v>59.32344561499999</v>
      </c>
      <c r="AM144" s="310">
        <f t="shared" si="133"/>
        <v>46.247816673899962</v>
      </c>
      <c r="AN144" s="310">
        <f t="shared" si="134"/>
        <v>61.993988448400046</v>
      </c>
      <c r="AO144" s="310">
        <f t="shared" si="135"/>
        <v>73.117691371900023</v>
      </c>
      <c r="AP144" s="310"/>
      <c r="AQ144" s="310"/>
      <c r="AR144" s="310"/>
    </row>
    <row r="145" spans="2:44" ht="15" customHeight="1" x14ac:dyDescent="0.25">
      <c r="B145" s="40" t="s">
        <v>16</v>
      </c>
      <c r="C145" s="40"/>
      <c r="D145" s="40"/>
      <c r="E145" s="40"/>
      <c r="F145" s="40"/>
      <c r="G145" s="40"/>
      <c r="H145" s="40"/>
      <c r="I145" s="40"/>
      <c r="J145" s="40"/>
      <c r="K145" s="40"/>
      <c r="L145" s="301">
        <v>381.97</v>
      </c>
      <c r="M145" s="301">
        <v>414.5</v>
      </c>
      <c r="N145" s="301">
        <v>482.85</v>
      </c>
      <c r="O145" s="301">
        <v>472.89</v>
      </c>
      <c r="P145" s="301">
        <v>505.61</v>
      </c>
      <c r="Q145" s="301">
        <v>695.66</v>
      </c>
      <c r="R145" s="301">
        <v>705.18</v>
      </c>
      <c r="S145" s="301">
        <v>823.79</v>
      </c>
      <c r="T145" s="301">
        <v>763.01</v>
      </c>
      <c r="U145" s="301">
        <v>832.4</v>
      </c>
      <c r="V145" s="301">
        <v>871.17</v>
      </c>
      <c r="W145" s="301">
        <v>761.62</v>
      </c>
      <c r="X145" s="301">
        <v>951.8</v>
      </c>
      <c r="Y145" s="301">
        <f>AE145</f>
        <v>960.42489755410156</v>
      </c>
      <c r="Z145" s="301"/>
      <c r="AB145" s="301">
        <v>286.59207770180041</v>
      </c>
      <c r="AC145" s="301">
        <v>516.88493356560002</v>
      </c>
      <c r="AD145" s="301">
        <v>713.40001431979977</v>
      </c>
      <c r="AE145" s="301">
        <v>960.42489755410156</v>
      </c>
      <c r="AF145" s="301">
        <v>274.350581385</v>
      </c>
      <c r="AG145" s="341"/>
      <c r="AH145" s="341"/>
      <c r="AI145" s="341"/>
      <c r="AK145" s="301">
        <f t="shared" si="131"/>
        <v>286.59207770180041</v>
      </c>
      <c r="AL145" s="301">
        <f t="shared" si="132"/>
        <v>230.29285586379962</v>
      </c>
      <c r="AM145" s="301">
        <f t="shared" si="133"/>
        <v>196.51508075419974</v>
      </c>
      <c r="AN145" s="301">
        <f t="shared" si="134"/>
        <v>247.0248832343018</v>
      </c>
      <c r="AO145" s="301">
        <f t="shared" si="135"/>
        <v>274.350581385</v>
      </c>
      <c r="AP145" s="301"/>
      <c r="AQ145" s="301"/>
      <c r="AR145" s="301"/>
    </row>
    <row r="146" spans="2:44" ht="15" customHeight="1" x14ac:dyDescent="0.25">
      <c r="B146" s="131" t="s">
        <v>66</v>
      </c>
      <c r="C146" s="131"/>
      <c r="D146" s="131"/>
      <c r="E146" s="131"/>
      <c r="F146" s="131"/>
      <c r="G146" s="131"/>
      <c r="H146" s="131"/>
      <c r="I146" s="131"/>
      <c r="J146" s="131"/>
      <c r="K146" s="131"/>
      <c r="L146" s="310">
        <v>46.02</v>
      </c>
      <c r="M146" s="310">
        <v>17.71</v>
      </c>
      <c r="N146" s="310">
        <v>19.8</v>
      </c>
      <c r="O146" s="310">
        <v>30.03</v>
      </c>
      <c r="P146" s="310">
        <v>17.02</v>
      </c>
      <c r="Q146" s="310">
        <v>19.62</v>
      </c>
      <c r="R146" s="310">
        <v>23.23</v>
      </c>
      <c r="S146" s="310">
        <v>22.11</v>
      </c>
      <c r="T146" s="310">
        <v>148.4</v>
      </c>
      <c r="U146" s="310">
        <v>50.35</v>
      </c>
      <c r="V146" s="310">
        <v>195.1</v>
      </c>
      <c r="W146" s="310">
        <v>270.22000000000003</v>
      </c>
      <c r="X146" s="310">
        <v>89.09</v>
      </c>
      <c r="Y146" s="310">
        <f>AE146</f>
        <v>42.714944481799762</v>
      </c>
      <c r="Z146" s="310"/>
      <c r="AB146" s="310">
        <v>11.464660062000043</v>
      </c>
      <c r="AC146" s="310">
        <v>19.865348332299902</v>
      </c>
      <c r="AD146" s="310">
        <v>36.709238345199765</v>
      </c>
      <c r="AE146" s="310">
        <v>42.714944481799762</v>
      </c>
      <c r="AF146" s="310">
        <v>80.531608738999935</v>
      </c>
      <c r="AG146" s="308"/>
      <c r="AH146" s="308"/>
      <c r="AI146" s="308"/>
      <c r="AK146" s="310">
        <f t="shared" si="131"/>
        <v>11.464660062000043</v>
      </c>
      <c r="AL146" s="310">
        <f t="shared" si="132"/>
        <v>8.4006882702998595</v>
      </c>
      <c r="AM146" s="310">
        <f t="shared" si="133"/>
        <v>16.843890012899863</v>
      </c>
      <c r="AN146" s="310">
        <f t="shared" si="134"/>
        <v>6.0057061365999971</v>
      </c>
      <c r="AO146" s="310">
        <f t="shared" si="135"/>
        <v>80.531608738999935</v>
      </c>
      <c r="AP146" s="310"/>
      <c r="AQ146" s="310"/>
      <c r="AR146" s="310"/>
    </row>
    <row r="147" spans="2:44" ht="15" customHeight="1" x14ac:dyDescent="0.25">
      <c r="B147" s="131" t="s">
        <v>67</v>
      </c>
      <c r="C147" s="131"/>
      <c r="D147" s="131"/>
      <c r="E147" s="131"/>
      <c r="F147" s="131"/>
      <c r="G147" s="131"/>
      <c r="H147" s="131"/>
      <c r="I147" s="131"/>
      <c r="J147" s="131"/>
      <c r="K147" s="131"/>
      <c r="L147" s="310">
        <v>139.66</v>
      </c>
      <c r="M147" s="310">
        <v>162.04</v>
      </c>
      <c r="N147" s="310">
        <v>184.99</v>
      </c>
      <c r="O147" s="310">
        <v>173.42</v>
      </c>
      <c r="P147" s="310">
        <v>163.35</v>
      </c>
      <c r="Q147" s="310">
        <v>253.38</v>
      </c>
      <c r="R147" s="310">
        <v>226.88</v>
      </c>
      <c r="S147" s="310">
        <v>247.32</v>
      </c>
      <c r="T147" s="310">
        <v>277</v>
      </c>
      <c r="U147" s="310">
        <v>268.23</v>
      </c>
      <c r="V147" s="310">
        <v>289.52999999999997</v>
      </c>
      <c r="W147" s="310">
        <v>300.31</v>
      </c>
      <c r="X147" s="310">
        <v>421.12</v>
      </c>
      <c r="Y147" s="310">
        <f>(AE147)</f>
        <v>449.88300733130166</v>
      </c>
      <c r="Z147" s="310"/>
      <c r="AA147" s="310"/>
      <c r="AB147" s="310">
        <v>129.93349624649991</v>
      </c>
      <c r="AC147" s="310">
        <v>232.97080502950013</v>
      </c>
      <c r="AD147" s="310">
        <v>323.00830080429915</v>
      </c>
      <c r="AE147" s="310">
        <v>449.88300733130166</v>
      </c>
      <c r="AF147" s="310">
        <v>138.62994996879996</v>
      </c>
      <c r="AG147" s="308"/>
      <c r="AH147" s="308"/>
      <c r="AI147" s="308"/>
      <c r="AK147" s="310">
        <f t="shared" si="131"/>
        <v>129.93349624649991</v>
      </c>
      <c r="AL147" s="310">
        <f t="shared" si="132"/>
        <v>103.03730878300021</v>
      </c>
      <c r="AM147" s="310">
        <f t="shared" si="133"/>
        <v>90.037495774799027</v>
      </c>
      <c r="AN147" s="310">
        <f t="shared" si="134"/>
        <v>126.8747065270025</v>
      </c>
      <c r="AO147" s="310">
        <f t="shared" si="135"/>
        <v>138.62994996879996</v>
      </c>
      <c r="AP147" s="310"/>
      <c r="AQ147" s="310"/>
      <c r="AR147" s="310"/>
    </row>
    <row r="148" spans="2:44" ht="15" customHeight="1" x14ac:dyDescent="0.25">
      <c r="B148" s="132" t="s">
        <v>68</v>
      </c>
      <c r="C148" s="132"/>
      <c r="D148" s="132"/>
      <c r="E148" s="132"/>
      <c r="F148" s="132"/>
      <c r="G148" s="132"/>
      <c r="H148" s="132"/>
      <c r="I148" s="132"/>
      <c r="J148" s="132"/>
      <c r="K148" s="132"/>
      <c r="L148" s="310">
        <v>93.03</v>
      </c>
      <c r="M148" s="310">
        <v>101.26</v>
      </c>
      <c r="N148" s="310">
        <v>116.46</v>
      </c>
      <c r="O148" s="310">
        <v>108.01</v>
      </c>
      <c r="P148" s="310">
        <v>108.76</v>
      </c>
      <c r="Q148" s="310">
        <v>134.26</v>
      </c>
      <c r="R148" s="310">
        <v>139.49</v>
      </c>
      <c r="S148" s="310">
        <v>155.88</v>
      </c>
      <c r="T148" s="310">
        <v>160.35</v>
      </c>
      <c r="U148" s="310">
        <v>148.25</v>
      </c>
      <c r="V148" s="310">
        <v>163.27000000000001</v>
      </c>
      <c r="W148" s="310">
        <v>156.69999999999999</v>
      </c>
      <c r="X148" s="310">
        <v>202.4</v>
      </c>
      <c r="Y148" s="310">
        <f>(AE148)</f>
        <v>214.54476674510141</v>
      </c>
      <c r="Z148" s="310"/>
      <c r="AA148" s="310"/>
      <c r="AB148" s="310">
        <v>53.30314758289996</v>
      </c>
      <c r="AC148" s="310">
        <v>104.71263762150016</v>
      </c>
      <c r="AD148" s="310">
        <v>158.24209606159974</v>
      </c>
      <c r="AE148" s="310">
        <v>214.54476674510141</v>
      </c>
      <c r="AF148" s="310">
        <v>52.99475036039987</v>
      </c>
      <c r="AG148" s="308"/>
      <c r="AH148" s="308"/>
      <c r="AI148" s="308"/>
      <c r="AK148" s="310">
        <f t="shared" si="131"/>
        <v>53.30314758289996</v>
      </c>
      <c r="AL148" s="310">
        <f t="shared" si="132"/>
        <v>51.409490038600204</v>
      </c>
      <c r="AM148" s="310">
        <f t="shared" si="133"/>
        <v>53.529458440099575</v>
      </c>
      <c r="AN148" s="310">
        <f t="shared" si="134"/>
        <v>56.302670683501674</v>
      </c>
      <c r="AO148" s="310">
        <f t="shared" si="135"/>
        <v>52.99475036039987</v>
      </c>
      <c r="AP148" s="310"/>
      <c r="AQ148" s="310"/>
      <c r="AR148" s="310"/>
    </row>
    <row r="149" spans="2:44" ht="15" customHeight="1" x14ac:dyDescent="0.25">
      <c r="B149" s="132" t="s">
        <v>69</v>
      </c>
      <c r="C149" s="132"/>
      <c r="D149" s="132"/>
      <c r="E149" s="132"/>
      <c r="F149" s="132"/>
      <c r="G149" s="132"/>
      <c r="H149" s="132"/>
      <c r="I149" s="132"/>
      <c r="J149" s="132"/>
      <c r="K149" s="132"/>
      <c r="L149" s="310">
        <v>24.33</v>
      </c>
      <c r="M149" s="310">
        <v>25.94</v>
      </c>
      <c r="N149" s="310">
        <v>29.02</v>
      </c>
      <c r="O149" s="310">
        <v>28.77</v>
      </c>
      <c r="P149" s="310">
        <v>27.82</v>
      </c>
      <c r="Q149" s="310">
        <v>40.159999999999997</v>
      </c>
      <c r="R149" s="310">
        <v>43.87</v>
      </c>
      <c r="S149" s="310">
        <v>50.13</v>
      </c>
      <c r="T149" s="310">
        <v>58.24</v>
      </c>
      <c r="U149" s="310">
        <v>63.29</v>
      </c>
      <c r="V149" s="310">
        <v>76.150000000000006</v>
      </c>
      <c r="W149" s="310">
        <v>89.44</v>
      </c>
      <c r="X149" s="310">
        <v>124.44</v>
      </c>
      <c r="Y149" s="310">
        <f>(AE149)</f>
        <v>117.10912342390004</v>
      </c>
      <c r="Z149" s="310"/>
      <c r="AA149" s="310"/>
      <c r="AB149" s="310">
        <v>28.890905943300023</v>
      </c>
      <c r="AC149" s="310">
        <v>56.534098580200059</v>
      </c>
      <c r="AD149" s="310">
        <v>85.298794854500088</v>
      </c>
      <c r="AE149" s="310">
        <v>117.10912342390004</v>
      </c>
      <c r="AF149" s="310">
        <v>27.501423995100016</v>
      </c>
      <c r="AG149" s="308"/>
      <c r="AH149" s="308"/>
      <c r="AI149" s="308"/>
      <c r="AK149" s="310">
        <f t="shared" si="131"/>
        <v>28.890905943300023</v>
      </c>
      <c r="AL149" s="310">
        <f t="shared" si="132"/>
        <v>27.643192636900036</v>
      </c>
      <c r="AM149" s="310">
        <f t="shared" si="133"/>
        <v>28.764696274300029</v>
      </c>
      <c r="AN149" s="310">
        <f t="shared" si="134"/>
        <v>31.810328569399957</v>
      </c>
      <c r="AO149" s="310">
        <f t="shared" si="135"/>
        <v>27.501423995100016</v>
      </c>
      <c r="AP149" s="310"/>
      <c r="AQ149" s="310"/>
      <c r="AR149" s="310"/>
    </row>
    <row r="150" spans="2:44" ht="15" customHeight="1" x14ac:dyDescent="0.25">
      <c r="B150" s="132" t="s">
        <v>70</v>
      </c>
      <c r="C150" s="132"/>
      <c r="D150" s="132"/>
      <c r="E150" s="132"/>
      <c r="F150" s="132"/>
      <c r="G150" s="132"/>
      <c r="H150" s="132"/>
      <c r="I150" s="132"/>
      <c r="J150" s="132"/>
      <c r="K150" s="132"/>
      <c r="L150" s="310">
        <v>22.3</v>
      </c>
      <c r="M150" s="310">
        <v>34.840000000000003</v>
      </c>
      <c r="N150" s="310">
        <v>39.520000000000003</v>
      </c>
      <c r="O150" s="310">
        <v>36.64</v>
      </c>
      <c r="P150" s="310">
        <v>26.77</v>
      </c>
      <c r="Q150" s="310">
        <v>78.959999999999994</v>
      </c>
      <c r="R150" s="310">
        <v>43.51</v>
      </c>
      <c r="S150" s="310">
        <v>41.31</v>
      </c>
      <c r="T150" s="310">
        <v>58.41</v>
      </c>
      <c r="U150" s="310">
        <v>56.69</v>
      </c>
      <c r="V150" s="310">
        <v>50.11</v>
      </c>
      <c r="W150" s="310">
        <v>54.18</v>
      </c>
      <c r="X150" s="310">
        <v>94.29</v>
      </c>
      <c r="Y150" s="310">
        <f>(AE150)</f>
        <v>118.2291171623002</v>
      </c>
      <c r="Z150" s="310"/>
      <c r="AA150" s="310"/>
      <c r="AB150" s="310">
        <v>47.739442720299927</v>
      </c>
      <c r="AC150" s="310">
        <v>71.724068827799911</v>
      </c>
      <c r="AD150" s="310">
        <v>79.467409888199313</v>
      </c>
      <c r="AE150" s="310">
        <v>118.2291171623002</v>
      </c>
      <c r="AF150" s="310">
        <v>58.133775613300088</v>
      </c>
      <c r="AG150" s="308"/>
      <c r="AH150" s="308"/>
      <c r="AI150" s="308"/>
      <c r="AK150" s="310">
        <f t="shared" si="131"/>
        <v>47.739442720299927</v>
      </c>
      <c r="AL150" s="310">
        <f t="shared" si="132"/>
        <v>23.984626107499984</v>
      </c>
      <c r="AM150" s="310">
        <f t="shared" si="133"/>
        <v>7.743341060399402</v>
      </c>
      <c r="AN150" s="310">
        <f t="shared" si="134"/>
        <v>38.761707274100885</v>
      </c>
      <c r="AO150" s="310">
        <f t="shared" si="135"/>
        <v>58.133775613300088</v>
      </c>
      <c r="AP150" s="310"/>
      <c r="AQ150" s="310"/>
      <c r="AR150" s="310"/>
    </row>
    <row r="151" spans="2:44" ht="15" customHeight="1" x14ac:dyDescent="0.25">
      <c r="B151" s="131" t="s">
        <v>71</v>
      </c>
      <c r="C151" s="131"/>
      <c r="D151" s="131"/>
      <c r="E151" s="131"/>
      <c r="F151" s="131"/>
      <c r="G151" s="131"/>
      <c r="H151" s="131"/>
      <c r="I151" s="131"/>
      <c r="J151" s="131"/>
      <c r="K151" s="131"/>
      <c r="L151" s="310">
        <v>0</v>
      </c>
      <c r="M151" s="310">
        <v>0</v>
      </c>
      <c r="N151" s="310">
        <v>0</v>
      </c>
      <c r="O151" s="310">
        <v>0</v>
      </c>
      <c r="P151" s="310">
        <v>0</v>
      </c>
      <c r="Q151" s="310">
        <v>0</v>
      </c>
      <c r="R151" s="310">
        <v>0</v>
      </c>
      <c r="S151" s="310">
        <v>0</v>
      </c>
      <c r="T151" s="310">
        <v>0</v>
      </c>
      <c r="U151" s="310">
        <v>0</v>
      </c>
      <c r="V151" s="310">
        <v>-0.19</v>
      </c>
      <c r="W151" s="310">
        <v>15.15</v>
      </c>
      <c r="X151" s="310">
        <v>35.31</v>
      </c>
      <c r="Y151" s="310">
        <f>AE151</f>
        <v>30.445835061999976</v>
      </c>
      <c r="Z151" s="310"/>
      <c r="AB151" s="310">
        <v>5.3589117739000063</v>
      </c>
      <c r="AC151" s="310">
        <v>16.050211980999997</v>
      </c>
      <c r="AD151" s="310">
        <v>18.865505507000019</v>
      </c>
      <c r="AE151" s="310">
        <v>30.445835061999976</v>
      </c>
      <c r="AF151" s="310">
        <v>6.3502000701999943</v>
      </c>
      <c r="AG151" s="308"/>
      <c r="AH151" s="308"/>
      <c r="AI151" s="308"/>
      <c r="AK151" s="310">
        <f t="shared" si="131"/>
        <v>5.3589117739000063</v>
      </c>
      <c r="AL151" s="310">
        <f t="shared" si="132"/>
        <v>10.691300207099991</v>
      </c>
      <c r="AM151" s="310">
        <f t="shared" si="133"/>
        <v>2.8152935260000227</v>
      </c>
      <c r="AN151" s="310">
        <f t="shared" si="134"/>
        <v>11.580329554999956</v>
      </c>
      <c r="AO151" s="310">
        <f t="shared" si="135"/>
        <v>6.3502000701999943</v>
      </c>
      <c r="AP151" s="310"/>
      <c r="AQ151" s="310"/>
      <c r="AR151" s="310"/>
    </row>
    <row r="152" spans="2:44" ht="15" customHeight="1" x14ac:dyDescent="0.25">
      <c r="B152" s="40" t="s">
        <v>72</v>
      </c>
      <c r="C152" s="40"/>
      <c r="D152" s="40"/>
      <c r="E152" s="40"/>
      <c r="F152" s="40"/>
      <c r="G152" s="40"/>
      <c r="H152" s="40"/>
      <c r="I152" s="40"/>
      <c r="J152" s="40"/>
      <c r="K152" s="40"/>
      <c r="L152" s="301">
        <v>288.33</v>
      </c>
      <c r="M152" s="301">
        <v>270.17</v>
      </c>
      <c r="N152" s="301">
        <v>317.66000000000003</v>
      </c>
      <c r="O152" s="301">
        <v>329.5</v>
      </c>
      <c r="P152" s="301">
        <v>359.28</v>
      </c>
      <c r="Q152" s="301">
        <v>461.9</v>
      </c>
      <c r="R152" s="301">
        <v>501.53</v>
      </c>
      <c r="S152" s="301">
        <v>598.58000000000004</v>
      </c>
      <c r="T152" s="301">
        <v>634.41999999999996</v>
      </c>
      <c r="U152" s="301">
        <v>614.53</v>
      </c>
      <c r="V152" s="301">
        <v>776.55</v>
      </c>
      <c r="W152" s="301">
        <v>746.68</v>
      </c>
      <c r="X152" s="301">
        <v>655.08000000000004</v>
      </c>
      <c r="Y152" s="301">
        <f>AE152</f>
        <v>583.70266976659889</v>
      </c>
      <c r="Z152" s="301"/>
      <c r="AB152" s="301">
        <v>173.48215329120126</v>
      </c>
      <c r="AC152" s="301">
        <v>319.82968884940112</v>
      </c>
      <c r="AD152" s="301">
        <v>445.9664573676983</v>
      </c>
      <c r="AE152" s="301">
        <v>583.70266976659889</v>
      </c>
      <c r="AF152" s="301">
        <v>222.60244022539987</v>
      </c>
      <c r="AG152" s="341"/>
      <c r="AH152" s="341"/>
      <c r="AI152" s="341"/>
      <c r="AK152" s="301">
        <f t="shared" si="131"/>
        <v>173.48215329120126</v>
      </c>
      <c r="AL152" s="301">
        <f t="shared" si="132"/>
        <v>146.34753555819987</v>
      </c>
      <c r="AM152" s="301">
        <f t="shared" si="133"/>
        <v>126.13676851829717</v>
      </c>
      <c r="AN152" s="301">
        <f t="shared" si="134"/>
        <v>137.73621239890059</v>
      </c>
      <c r="AO152" s="301">
        <f t="shared" si="135"/>
        <v>222.60244022539987</v>
      </c>
      <c r="AP152" s="301"/>
      <c r="AQ152" s="301"/>
      <c r="AR152" s="301"/>
    </row>
    <row r="153" spans="2:44" ht="15" customHeight="1" x14ac:dyDescent="0.25">
      <c r="B153" s="133" t="s">
        <v>73</v>
      </c>
      <c r="C153" s="133"/>
      <c r="D153" s="133"/>
      <c r="E153" s="133"/>
      <c r="F153" s="133"/>
      <c r="G153" s="133"/>
      <c r="H153" s="133"/>
      <c r="I153" s="133"/>
      <c r="J153" s="133"/>
      <c r="K153" s="133"/>
      <c r="L153" s="330">
        <v>0.75</v>
      </c>
      <c r="M153" s="330">
        <v>0.65</v>
      </c>
      <c r="N153" s="330">
        <v>0.66</v>
      </c>
      <c r="O153" s="330">
        <v>0.7</v>
      </c>
      <c r="P153" s="330">
        <v>0.71</v>
      </c>
      <c r="Q153" s="330">
        <v>0.66</v>
      </c>
      <c r="R153" s="330">
        <v>0.71</v>
      </c>
      <c r="S153" s="330">
        <v>0.73</v>
      </c>
      <c r="T153" s="330">
        <v>0.83</v>
      </c>
      <c r="U153" s="330">
        <v>0.74</v>
      </c>
      <c r="V153" s="330">
        <v>0.89</v>
      </c>
      <c r="W153" s="330">
        <v>0.98</v>
      </c>
      <c r="X153" s="330">
        <v>0.69</v>
      </c>
      <c r="Y153" s="330">
        <f>AE153</f>
        <v>0.6077546211610142</v>
      </c>
      <c r="Z153" s="330"/>
      <c r="AB153" s="330">
        <v>0.60532780487990234</v>
      </c>
      <c r="AC153" s="330">
        <v>0.61876380617855675</v>
      </c>
      <c r="AD153" s="330">
        <v>0.625128186733933</v>
      </c>
      <c r="AE153" s="330">
        <v>0.6077546211610142</v>
      </c>
      <c r="AF153" s="330">
        <v>0.81137950975587236</v>
      </c>
      <c r="AG153" s="466"/>
      <c r="AH153" s="466"/>
      <c r="AI153" s="466"/>
      <c r="AK153" s="330"/>
      <c r="AL153" s="330">
        <f t="shared" si="132"/>
        <v>1.343600129865441E-2</v>
      </c>
      <c r="AM153" s="330">
        <f t="shared" si="133"/>
        <v>6.3643805553762478E-3</v>
      </c>
      <c r="AN153" s="330">
        <f t="shared" si="134"/>
        <v>-1.7373565572918803E-2</v>
      </c>
      <c r="AO153" s="330"/>
      <c r="AP153" s="330"/>
      <c r="AQ153" s="330"/>
      <c r="AR153" s="330"/>
    </row>
    <row r="154" spans="2:44" ht="15" customHeight="1" x14ac:dyDescent="0.25">
      <c r="B154" s="130" t="s">
        <v>74</v>
      </c>
      <c r="C154" s="130"/>
      <c r="D154" s="130"/>
      <c r="E154" s="130"/>
      <c r="F154" s="130"/>
      <c r="G154" s="130"/>
      <c r="H154" s="130"/>
      <c r="I154" s="130"/>
      <c r="J154" s="130"/>
      <c r="K154" s="130"/>
      <c r="L154" s="310">
        <v>0</v>
      </c>
      <c r="M154" s="310">
        <v>0</v>
      </c>
      <c r="N154" s="310">
        <v>0</v>
      </c>
      <c r="O154" s="310">
        <v>1.17</v>
      </c>
      <c r="P154" s="310">
        <v>0</v>
      </c>
      <c r="Q154" s="310">
        <v>-0.19</v>
      </c>
      <c r="R154" s="310">
        <v>-0.09</v>
      </c>
      <c r="S154" s="310">
        <v>-0.37</v>
      </c>
      <c r="T154" s="310">
        <v>-0.28000000000000003</v>
      </c>
      <c r="U154" s="310">
        <v>0</v>
      </c>
      <c r="V154" s="310">
        <v>0</v>
      </c>
      <c r="W154" s="310">
        <v>0.78</v>
      </c>
      <c r="X154" s="310">
        <v>-0.08</v>
      </c>
      <c r="Y154" s="310">
        <f>(AE154)</f>
        <v>-0.31444533399999997</v>
      </c>
      <c r="Z154" s="310"/>
      <c r="AB154" s="310">
        <v>0</v>
      </c>
      <c r="AC154" s="310">
        <v>0</v>
      </c>
      <c r="AD154" s="310">
        <v>0</v>
      </c>
      <c r="AE154" s="310">
        <v>-0.31444533399999997</v>
      </c>
      <c r="AF154" s="310">
        <v>0</v>
      </c>
      <c r="AG154" s="308"/>
      <c r="AH154" s="308"/>
      <c r="AI154" s="308"/>
      <c r="AK154" s="310">
        <f>AB154</f>
        <v>0</v>
      </c>
      <c r="AL154" s="310">
        <f t="shared" si="132"/>
        <v>0</v>
      </c>
      <c r="AM154" s="310">
        <f t="shared" si="133"/>
        <v>0</v>
      </c>
      <c r="AN154" s="310">
        <f t="shared" si="134"/>
        <v>-0.31444533399999997</v>
      </c>
      <c r="AO154" s="310">
        <f>AF154</f>
        <v>0</v>
      </c>
      <c r="AP154" s="310"/>
      <c r="AQ154" s="310"/>
      <c r="AR154" s="310"/>
    </row>
    <row r="155" spans="2:44" ht="15" customHeight="1" x14ac:dyDescent="0.25">
      <c r="B155" s="130" t="s">
        <v>75</v>
      </c>
      <c r="C155" s="130"/>
      <c r="D155" s="130"/>
      <c r="E155" s="130"/>
      <c r="F155" s="130"/>
      <c r="G155" s="130"/>
      <c r="H155" s="130"/>
      <c r="I155" s="130"/>
      <c r="J155" s="130"/>
      <c r="K155" s="130"/>
      <c r="L155" s="310">
        <v>222.26</v>
      </c>
      <c r="M155" s="310">
        <v>209.65</v>
      </c>
      <c r="N155" s="310">
        <v>233.46</v>
      </c>
      <c r="O155" s="310">
        <v>216.81</v>
      </c>
      <c r="P155" s="310">
        <v>219.82</v>
      </c>
      <c r="Q155" s="310">
        <v>287.91000000000003</v>
      </c>
      <c r="R155" s="310">
        <v>310.01</v>
      </c>
      <c r="S155" s="310">
        <v>275.02</v>
      </c>
      <c r="T155" s="310">
        <v>288.69</v>
      </c>
      <c r="U155" s="310">
        <v>333.18</v>
      </c>
      <c r="V155" s="310">
        <v>374.92</v>
      </c>
      <c r="W155" s="310">
        <v>350.52</v>
      </c>
      <c r="X155" s="310">
        <v>416.8</v>
      </c>
      <c r="Y155" s="310">
        <f>(AE155)</f>
        <v>459.34811795620038</v>
      </c>
      <c r="Z155" s="310"/>
      <c r="AB155" s="310">
        <v>102.61371727759996</v>
      </c>
      <c r="AC155" s="310">
        <v>205.20195506059994</v>
      </c>
      <c r="AD155" s="310">
        <v>308.10591724510016</v>
      </c>
      <c r="AE155" s="310">
        <v>459.34811795620038</v>
      </c>
      <c r="AF155" s="310">
        <v>109.55756052580011</v>
      </c>
      <c r="AG155" s="308"/>
      <c r="AH155" s="308"/>
      <c r="AI155" s="308"/>
      <c r="AK155" s="310">
        <f>AB155</f>
        <v>102.61371727759996</v>
      </c>
      <c r="AL155" s="310">
        <f t="shared" si="132"/>
        <v>102.58823778299998</v>
      </c>
      <c r="AM155" s="310">
        <f t="shared" si="133"/>
        <v>102.90396218450022</v>
      </c>
      <c r="AN155" s="310">
        <f t="shared" si="134"/>
        <v>151.24220071110022</v>
      </c>
      <c r="AO155" s="310">
        <f>AF155</f>
        <v>109.55756052580011</v>
      </c>
      <c r="AP155" s="310"/>
      <c r="AQ155" s="310"/>
      <c r="AR155" s="310"/>
    </row>
    <row r="156" spans="2:44" ht="15" customHeight="1" x14ac:dyDescent="0.25">
      <c r="B156" s="130" t="s">
        <v>76</v>
      </c>
      <c r="C156" s="130"/>
      <c r="D156" s="130"/>
      <c r="E156" s="130"/>
      <c r="F156" s="130"/>
      <c r="G156" s="130"/>
      <c r="H156" s="130"/>
      <c r="I156" s="130"/>
      <c r="J156" s="130"/>
      <c r="K156" s="130"/>
      <c r="L156" s="310">
        <v>9.8699999999999992</v>
      </c>
      <c r="M156" s="310">
        <v>13.69</v>
      </c>
      <c r="N156" s="310">
        <v>14.11</v>
      </c>
      <c r="O156" s="310">
        <v>17.38</v>
      </c>
      <c r="P156" s="310">
        <v>17.38</v>
      </c>
      <c r="Q156" s="310">
        <v>20.82</v>
      </c>
      <c r="R156" s="310">
        <v>20.88</v>
      </c>
      <c r="S156" s="310">
        <v>16.14</v>
      </c>
      <c r="T156" s="310">
        <v>15.44</v>
      </c>
      <c r="U156" s="310">
        <v>16.28</v>
      </c>
      <c r="V156" s="310">
        <v>15.96</v>
      </c>
      <c r="W156" s="310">
        <v>15.41</v>
      </c>
      <c r="X156" s="310">
        <v>17.440000000000001</v>
      </c>
      <c r="Y156" s="310">
        <f>AE156</f>
        <v>17.091977029199995</v>
      </c>
      <c r="Z156" s="310"/>
      <c r="AB156" s="310">
        <v>4.2924329151</v>
      </c>
      <c r="AC156" s="310">
        <v>8.5343357534000006</v>
      </c>
      <c r="AD156" s="310">
        <v>12.7840594386</v>
      </c>
      <c r="AE156" s="310">
        <v>17.091977029199995</v>
      </c>
      <c r="AF156" s="310">
        <v>4.2729638100000003</v>
      </c>
      <c r="AG156" s="308"/>
      <c r="AH156" s="308"/>
      <c r="AI156" s="308"/>
      <c r="AK156" s="310">
        <f>AB156</f>
        <v>4.2924329151</v>
      </c>
      <c r="AL156" s="310">
        <f t="shared" si="132"/>
        <v>4.2419028383000006</v>
      </c>
      <c r="AM156" s="310">
        <f t="shared" si="133"/>
        <v>4.2497236851999993</v>
      </c>
      <c r="AN156" s="310">
        <f t="shared" si="134"/>
        <v>4.3079175905999953</v>
      </c>
      <c r="AO156" s="310">
        <f>AF156</f>
        <v>4.2729638100000003</v>
      </c>
      <c r="AP156" s="310"/>
      <c r="AQ156" s="310"/>
      <c r="AR156" s="310"/>
    </row>
    <row r="157" spans="2:44" ht="15" customHeight="1" x14ac:dyDescent="0.25">
      <c r="B157" s="6" t="s">
        <v>77</v>
      </c>
      <c r="C157" s="6"/>
      <c r="D157" s="6"/>
      <c r="E157" s="6"/>
      <c r="F157" s="6"/>
      <c r="G157" s="6"/>
      <c r="H157" s="6"/>
      <c r="I157" s="6"/>
      <c r="J157" s="6"/>
      <c r="K157" s="6"/>
      <c r="L157" s="301">
        <v>75.94</v>
      </c>
      <c r="M157" s="301">
        <v>74.209999999999994</v>
      </c>
      <c r="N157" s="301">
        <v>98.32</v>
      </c>
      <c r="O157" s="301">
        <v>128.9</v>
      </c>
      <c r="P157" s="301">
        <v>156.84</v>
      </c>
      <c r="Q157" s="301">
        <v>195</v>
      </c>
      <c r="R157" s="301">
        <v>212.49</v>
      </c>
      <c r="S157" s="301">
        <v>340.06</v>
      </c>
      <c r="T157" s="301">
        <v>361.44</v>
      </c>
      <c r="U157" s="301">
        <v>297.63</v>
      </c>
      <c r="V157" s="301">
        <v>417.6</v>
      </c>
      <c r="W157" s="301">
        <v>410.79</v>
      </c>
      <c r="X157" s="301">
        <v>255.81</v>
      </c>
      <c r="Y157" s="301">
        <f>AE157</f>
        <v>141.76097417359679</v>
      </c>
      <c r="Z157" s="301"/>
      <c r="AB157" s="301">
        <v>75.160868928700168</v>
      </c>
      <c r="AC157" s="301">
        <v>123.16206954220038</v>
      </c>
      <c r="AD157" s="301">
        <v>150.64459956119853</v>
      </c>
      <c r="AE157" s="301">
        <v>141.76097417359679</v>
      </c>
      <c r="AF157" s="301">
        <v>117.31784350959994</v>
      </c>
      <c r="AG157" s="341"/>
      <c r="AH157" s="341"/>
      <c r="AI157" s="341"/>
      <c r="AK157" s="301">
        <f>AB157</f>
        <v>75.160868928700168</v>
      </c>
      <c r="AL157" s="301">
        <f t="shared" si="132"/>
        <v>48.001200613500217</v>
      </c>
      <c r="AM157" s="301">
        <f t="shared" si="133"/>
        <v>27.482530018998148</v>
      </c>
      <c r="AN157" s="301">
        <f t="shared" si="134"/>
        <v>-8.8836253876017395</v>
      </c>
      <c r="AO157" s="301">
        <f>AF157</f>
        <v>117.31784350959994</v>
      </c>
      <c r="AP157" s="301"/>
      <c r="AQ157" s="301"/>
      <c r="AR157" s="301"/>
    </row>
    <row r="159" spans="2:44" ht="15" customHeight="1" x14ac:dyDescent="0.25">
      <c r="B159" s="169" t="s">
        <v>78</v>
      </c>
      <c r="C159" s="169"/>
      <c r="D159" s="169"/>
      <c r="E159" s="169"/>
      <c r="F159" s="169"/>
      <c r="G159" s="169"/>
      <c r="H159" s="169"/>
      <c r="I159" s="169"/>
      <c r="J159" s="169"/>
      <c r="K159" s="169"/>
      <c r="L159" s="228">
        <v>2010</v>
      </c>
      <c r="M159" s="228">
        <v>2011</v>
      </c>
      <c r="N159" s="228">
        <v>2012</v>
      </c>
      <c r="O159" s="228">
        <v>2013</v>
      </c>
      <c r="P159" s="228">
        <v>2014</v>
      </c>
      <c r="Q159" s="228">
        <v>2015</v>
      </c>
      <c r="R159" s="228">
        <v>2016</v>
      </c>
      <c r="S159" s="228">
        <v>2017</v>
      </c>
      <c r="T159" s="228">
        <v>2018</v>
      </c>
      <c r="U159" s="228">
        <v>2019</v>
      </c>
      <c r="V159" s="228">
        <v>2020</v>
      </c>
      <c r="W159" s="228">
        <v>2021</v>
      </c>
      <c r="X159" s="231">
        <v>2022</v>
      </c>
      <c r="Y159" s="229">
        <v>2023</v>
      </c>
      <c r="Z159" s="230">
        <v>2024</v>
      </c>
      <c r="AB159" s="231" t="s">
        <v>291</v>
      </c>
      <c r="AC159" s="231" t="s">
        <v>292</v>
      </c>
      <c r="AD159" s="231" t="s">
        <v>293</v>
      </c>
      <c r="AE159" s="231">
        <v>2023</v>
      </c>
      <c r="AF159" s="232" t="s">
        <v>318</v>
      </c>
      <c r="AG159" s="232" t="s">
        <v>319</v>
      </c>
      <c r="AH159" s="232" t="s">
        <v>320</v>
      </c>
      <c r="AI159" s="232">
        <v>2024</v>
      </c>
      <c r="AK159" s="231" t="s">
        <v>291</v>
      </c>
      <c r="AL159" s="231" t="s">
        <v>296</v>
      </c>
      <c r="AM159" s="231" t="s">
        <v>294</v>
      </c>
      <c r="AN159" s="231" t="s">
        <v>295</v>
      </c>
      <c r="AO159" s="232" t="s">
        <v>318</v>
      </c>
      <c r="AP159" s="232" t="s">
        <v>321</v>
      </c>
      <c r="AQ159" s="232" t="s">
        <v>322</v>
      </c>
      <c r="AR159" s="232" t="s">
        <v>323</v>
      </c>
    </row>
    <row r="160" spans="2:44" ht="15" customHeight="1" x14ac:dyDescent="0.25">
      <c r="B160" s="6" t="s">
        <v>79</v>
      </c>
      <c r="C160" s="6"/>
      <c r="D160" s="6"/>
      <c r="E160" s="6"/>
      <c r="F160" s="6"/>
      <c r="G160" s="6"/>
      <c r="H160" s="6"/>
      <c r="I160" s="6"/>
      <c r="J160" s="6"/>
      <c r="K160" s="6"/>
      <c r="L160" s="301">
        <v>3223.52</v>
      </c>
      <c r="M160" s="301">
        <v>3421.52</v>
      </c>
      <c r="N160" s="301">
        <v>3636.78</v>
      </c>
      <c r="O160" s="301">
        <v>3505.9</v>
      </c>
      <c r="P160" s="301">
        <v>3834.9</v>
      </c>
      <c r="Q160" s="301">
        <v>4232.8999999999996</v>
      </c>
      <c r="R160" s="301">
        <v>4861.3999999999996</v>
      </c>
      <c r="S160" s="301">
        <v>5284.4</v>
      </c>
      <c r="T160" s="301">
        <v>5561.91</v>
      </c>
      <c r="U160" s="301">
        <v>5943.51</v>
      </c>
      <c r="V160" s="301">
        <v>6295.51</v>
      </c>
      <c r="W160" s="301">
        <v>6437.72</v>
      </c>
      <c r="X160" s="301">
        <v>6650.18</v>
      </c>
      <c r="Y160" s="301" vm="430">
        <f>AE160</f>
        <v>7812.8719999999985</v>
      </c>
      <c r="Z160" s="301"/>
      <c r="AB160" s="301" vm="102">
        <v>6647.232</v>
      </c>
      <c r="AC160" s="301" vm="371">
        <v>6704.8719999999985</v>
      </c>
      <c r="AD160" s="301" vm="270">
        <v>6823.2119999999986</v>
      </c>
      <c r="AE160" s="301" vm="430">
        <v>7812.8719999999985</v>
      </c>
      <c r="AF160" s="301" vm="595">
        <v>7590.1720000000005</v>
      </c>
      <c r="AG160" s="341"/>
      <c r="AH160" s="341"/>
      <c r="AI160" s="341"/>
      <c r="AK160" s="301"/>
      <c r="AL160" s="301"/>
      <c r="AM160" s="301"/>
      <c r="AN160" s="301"/>
      <c r="AO160" s="301"/>
      <c r="AP160" s="301"/>
      <c r="AQ160" s="301"/>
      <c r="AR160" s="301"/>
    </row>
    <row r="161" spans="2:44" ht="15" customHeight="1" x14ac:dyDescent="0.25">
      <c r="B161" s="129" t="s">
        <v>80</v>
      </c>
      <c r="C161" s="129"/>
      <c r="D161" s="129"/>
      <c r="E161" s="129"/>
      <c r="F161" s="129"/>
      <c r="G161" s="129"/>
      <c r="H161" s="129"/>
      <c r="I161" s="129"/>
      <c r="J161" s="129"/>
      <c r="K161" s="129"/>
      <c r="L161" s="310">
        <v>2459.08</v>
      </c>
      <c r="M161" s="310">
        <v>2658.73</v>
      </c>
      <c r="N161" s="310">
        <v>2875.78</v>
      </c>
      <c r="O161" s="310">
        <v>2907.07</v>
      </c>
      <c r="P161" s="310">
        <v>3251.33</v>
      </c>
      <c r="Q161" s="310">
        <v>3659.2</v>
      </c>
      <c r="R161" s="310">
        <v>4046.08</v>
      </c>
      <c r="S161" s="310">
        <v>4370.58</v>
      </c>
      <c r="T161" s="310">
        <v>4538.9799999999996</v>
      </c>
      <c r="U161" s="310">
        <v>4917.3100000000004</v>
      </c>
      <c r="V161" s="310">
        <v>5057.17</v>
      </c>
      <c r="W161" s="310">
        <v>5137.37</v>
      </c>
      <c r="X161" s="310">
        <v>5253.83</v>
      </c>
      <c r="Y161" s="310" vm="410">
        <f>AE161</f>
        <v>5766.5133119755001</v>
      </c>
      <c r="Z161" s="310"/>
      <c r="AB161" s="310" vm="103">
        <v>5252.9275917050009</v>
      </c>
      <c r="AC161" s="310" vm="396">
        <v>5310.5675917050003</v>
      </c>
      <c r="AD161" s="310" vm="314">
        <v>5428.9075917049995</v>
      </c>
      <c r="AE161" s="310" vm="410">
        <v>5766.5133119755001</v>
      </c>
      <c r="AF161" s="310" vm="580">
        <v>6363.0538999999999</v>
      </c>
      <c r="AG161" s="308"/>
      <c r="AH161" s="308"/>
      <c r="AI161" s="308"/>
      <c r="AK161" s="310"/>
      <c r="AL161" s="310"/>
      <c r="AM161" s="310"/>
      <c r="AN161" s="310"/>
      <c r="AO161" s="310"/>
      <c r="AP161" s="310"/>
      <c r="AQ161" s="310"/>
      <c r="AR161" s="310"/>
    </row>
    <row r="162" spans="2:44" ht="15" customHeight="1" x14ac:dyDescent="0.25">
      <c r="B162" s="129" t="s">
        <v>81</v>
      </c>
      <c r="C162" s="129"/>
      <c r="D162" s="129"/>
      <c r="E162" s="129"/>
      <c r="F162" s="129"/>
      <c r="G162" s="129"/>
      <c r="H162" s="129"/>
      <c r="I162" s="129"/>
      <c r="J162" s="129"/>
      <c r="K162" s="129"/>
      <c r="L162" s="310">
        <v>764.45</v>
      </c>
      <c r="M162" s="310">
        <v>762.8</v>
      </c>
      <c r="N162" s="310">
        <v>761</v>
      </c>
      <c r="O162" s="310">
        <v>568.83000000000004</v>
      </c>
      <c r="P162" s="310">
        <v>553.57000000000005</v>
      </c>
      <c r="Q162" s="310">
        <v>543.70000000000005</v>
      </c>
      <c r="R162" s="310">
        <v>585.32000000000005</v>
      </c>
      <c r="S162" s="310">
        <v>684.32</v>
      </c>
      <c r="T162" s="310">
        <v>793.43</v>
      </c>
      <c r="U162" s="310">
        <v>796.7</v>
      </c>
      <c r="V162" s="310">
        <v>771.04</v>
      </c>
      <c r="W162" s="310">
        <v>771.04</v>
      </c>
      <c r="X162" s="310">
        <v>771.04</v>
      </c>
      <c r="Y162" s="310" vm="535">
        <f>AE162</f>
        <v>1123.9986892755003</v>
      </c>
      <c r="Z162" s="310"/>
      <c r="AB162" s="310" vm="75">
        <v>769.04440829500004</v>
      </c>
      <c r="AC162" s="310" vm="397">
        <v>769.04440829499993</v>
      </c>
      <c r="AD162" s="310" vm="315">
        <v>769.04440829500004</v>
      </c>
      <c r="AE162" s="310" vm="535">
        <v>1123.9986892755003</v>
      </c>
      <c r="AF162" s="310" vm="565">
        <v>601.85810000000004</v>
      </c>
      <c r="AG162" s="308"/>
      <c r="AH162" s="308"/>
      <c r="AI162" s="308"/>
      <c r="AK162" s="310"/>
      <c r="AL162" s="310"/>
      <c r="AM162" s="310"/>
      <c r="AN162" s="310"/>
      <c r="AO162" s="310"/>
      <c r="AP162" s="310"/>
      <c r="AQ162" s="310"/>
      <c r="AR162" s="310"/>
    </row>
    <row r="163" spans="2:44" ht="15" customHeight="1" x14ac:dyDescent="0.25">
      <c r="B163" s="129" t="s">
        <v>54</v>
      </c>
      <c r="C163" s="129"/>
      <c r="D163" s="129"/>
      <c r="E163" s="129"/>
      <c r="F163" s="129"/>
      <c r="G163" s="129"/>
      <c r="H163" s="129"/>
      <c r="I163" s="129"/>
      <c r="J163" s="129"/>
      <c r="K163" s="129"/>
      <c r="L163" s="310" t="s">
        <v>17</v>
      </c>
      <c r="M163" s="310" t="s">
        <v>17</v>
      </c>
      <c r="N163" s="310" t="s">
        <v>17</v>
      </c>
      <c r="O163" s="310">
        <v>30</v>
      </c>
      <c r="P163" s="310">
        <v>30</v>
      </c>
      <c r="Q163" s="310">
        <v>30</v>
      </c>
      <c r="R163" s="310">
        <v>30</v>
      </c>
      <c r="S163" s="310">
        <v>30</v>
      </c>
      <c r="T163" s="310">
        <v>30</v>
      </c>
      <c r="U163" s="310">
        <v>30</v>
      </c>
      <c r="V163" s="310">
        <v>67.8</v>
      </c>
      <c r="W163" s="310">
        <v>129.80000000000001</v>
      </c>
      <c r="X163" s="310">
        <v>129.80000000000001</v>
      </c>
      <c r="Y163" s="310" vm="537">
        <f>AE163</f>
        <v>426.86</v>
      </c>
      <c r="Z163" s="310"/>
      <c r="AB163" s="310" vm="79">
        <v>129.76</v>
      </c>
      <c r="AC163" s="310" vm="372">
        <v>129.76</v>
      </c>
      <c r="AD163" s="310" vm="316">
        <v>129.76</v>
      </c>
      <c r="AE163" s="310" vm="537">
        <v>426.86</v>
      </c>
      <c r="AF163" s="310" vm="572">
        <v>129.76</v>
      </c>
      <c r="AG163" s="308"/>
      <c r="AH163" s="308"/>
      <c r="AI163" s="308"/>
      <c r="AK163" s="310"/>
      <c r="AL163" s="310"/>
      <c r="AM163" s="310"/>
      <c r="AN163" s="310"/>
      <c r="AO163" s="310"/>
      <c r="AP163" s="310"/>
      <c r="AQ163" s="310"/>
      <c r="AR163" s="310"/>
    </row>
    <row r="164" spans="2:44" ht="15" customHeight="1" x14ac:dyDescent="0.25">
      <c r="B164" s="129" t="s">
        <v>55</v>
      </c>
      <c r="C164" s="129"/>
      <c r="D164" s="129"/>
      <c r="E164" s="129"/>
      <c r="F164" s="129"/>
      <c r="G164" s="129"/>
      <c r="H164" s="129"/>
      <c r="I164" s="129"/>
      <c r="J164" s="129"/>
      <c r="K164" s="129"/>
      <c r="L164" s="310" t="s">
        <v>17</v>
      </c>
      <c r="M164" s="310" t="s">
        <v>17</v>
      </c>
      <c r="N164" s="310" t="s">
        <v>17</v>
      </c>
      <c r="O164" s="310" t="s">
        <v>17</v>
      </c>
      <c r="P164" s="310" t="s">
        <v>17</v>
      </c>
      <c r="Q164" s="310" t="s">
        <v>17</v>
      </c>
      <c r="R164" s="310">
        <v>200</v>
      </c>
      <c r="S164" s="310">
        <v>199.5</v>
      </c>
      <c r="T164" s="310">
        <v>199.5</v>
      </c>
      <c r="U164" s="310">
        <v>199.5</v>
      </c>
      <c r="V164" s="310">
        <v>399.5</v>
      </c>
      <c r="W164" s="310">
        <v>399.5</v>
      </c>
      <c r="X164" s="310">
        <v>495.5</v>
      </c>
      <c r="Y164" s="310" vm="536">
        <f>AE164</f>
        <v>495.5</v>
      </c>
      <c r="Z164" s="310"/>
      <c r="AB164" s="310" vm="78">
        <v>495.5</v>
      </c>
      <c r="AC164" s="310" vm="388">
        <v>495.5</v>
      </c>
      <c r="AD164" s="310" vm="317">
        <v>495.5</v>
      </c>
      <c r="AE164" s="310" vm="536">
        <v>495.5</v>
      </c>
      <c r="AF164" s="310" vm="582">
        <v>495.5</v>
      </c>
      <c r="AG164" s="308"/>
      <c r="AH164" s="308"/>
      <c r="AI164" s="308"/>
      <c r="AK164" s="310"/>
      <c r="AL164" s="310"/>
      <c r="AM164" s="310"/>
      <c r="AN164" s="310"/>
      <c r="AO164" s="310"/>
      <c r="AP164" s="310"/>
      <c r="AQ164" s="310"/>
      <c r="AR164" s="310"/>
    </row>
    <row r="165" spans="2:44" ht="15" customHeight="1" x14ac:dyDescent="0.25">
      <c r="B165" s="36"/>
      <c r="C165" s="36"/>
      <c r="D165" s="36"/>
      <c r="E165" s="36"/>
      <c r="F165" s="36"/>
      <c r="G165" s="36"/>
      <c r="H165" s="36"/>
      <c r="I165" s="36"/>
      <c r="J165" s="36"/>
      <c r="K165" s="36"/>
      <c r="L165" s="427"/>
      <c r="M165" s="427"/>
      <c r="N165" s="427"/>
      <c r="O165" s="427"/>
      <c r="P165" s="427"/>
      <c r="Q165" s="313"/>
      <c r="R165" s="313"/>
      <c r="S165" s="313"/>
      <c r="T165" s="313"/>
      <c r="U165" s="313"/>
      <c r="V165" s="313"/>
      <c r="W165" s="223"/>
    </row>
    <row r="166" spans="2:44" ht="15" customHeight="1" x14ac:dyDescent="0.25">
      <c r="B166" s="6" t="s">
        <v>82</v>
      </c>
      <c r="C166" s="182"/>
      <c r="D166" s="182"/>
      <c r="E166" s="182"/>
      <c r="F166" s="182"/>
      <c r="G166" s="182"/>
      <c r="H166" s="182"/>
      <c r="I166" s="182"/>
      <c r="J166" s="182"/>
      <c r="K166" s="182"/>
      <c r="Q166" s="315"/>
      <c r="R166" s="315"/>
      <c r="S166" s="315"/>
      <c r="T166" s="315"/>
      <c r="U166" s="315"/>
      <c r="V166" s="315"/>
      <c r="W166" s="223"/>
    </row>
    <row r="167" spans="2:44" ht="15" customHeight="1" x14ac:dyDescent="0.25">
      <c r="B167" s="129" t="s">
        <v>83</v>
      </c>
      <c r="C167" s="129"/>
      <c r="D167" s="129"/>
      <c r="E167" s="129"/>
      <c r="F167" s="129"/>
      <c r="G167" s="129"/>
      <c r="H167" s="129"/>
      <c r="I167" s="129"/>
      <c r="J167" s="129"/>
      <c r="K167" s="129"/>
      <c r="L167" s="310">
        <v>0</v>
      </c>
      <c r="M167" s="310">
        <v>0</v>
      </c>
      <c r="N167" s="310">
        <v>0</v>
      </c>
      <c r="O167" s="310">
        <v>0</v>
      </c>
      <c r="P167" s="310">
        <v>0</v>
      </c>
      <c r="Q167" s="310">
        <v>0</v>
      </c>
      <c r="R167" s="310">
        <v>0</v>
      </c>
      <c r="S167" s="310">
        <v>0</v>
      </c>
      <c r="T167" s="310">
        <v>2568.4</v>
      </c>
      <c r="U167" s="310">
        <v>2169.4</v>
      </c>
      <c r="V167" s="310">
        <v>2369</v>
      </c>
      <c r="W167" s="310">
        <v>2369.98</v>
      </c>
      <c r="X167" s="310">
        <v>2468.98</v>
      </c>
      <c r="Y167" s="310">
        <f>AE167</f>
        <v>3070.6249999999991</v>
      </c>
      <c r="Z167" s="310"/>
      <c r="AB167" s="310">
        <v>2468.0750000000003</v>
      </c>
      <c r="AC167" s="310">
        <v>2468.9800000000009</v>
      </c>
      <c r="AD167" s="310">
        <v>2468.9800000000009</v>
      </c>
      <c r="AE167" s="310">
        <v>3070.6249999999991</v>
      </c>
      <c r="AF167" s="310" vm="596">
        <v>483.3381</v>
      </c>
      <c r="AG167" s="308"/>
      <c r="AH167" s="308"/>
      <c r="AI167" s="308"/>
      <c r="AK167" s="310"/>
      <c r="AL167" s="310"/>
      <c r="AM167" s="310"/>
      <c r="AN167" s="310"/>
      <c r="AO167" s="310"/>
      <c r="AP167" s="310"/>
      <c r="AQ167" s="310"/>
      <c r="AR167" s="310"/>
    </row>
    <row r="168" spans="2:44" ht="15" customHeight="1" x14ac:dyDescent="0.25">
      <c r="B168" s="129" t="s">
        <v>84</v>
      </c>
      <c r="C168" s="129"/>
      <c r="D168" s="129"/>
      <c r="E168" s="129"/>
      <c r="F168" s="129"/>
      <c r="G168" s="129"/>
      <c r="H168" s="129"/>
      <c r="I168" s="129"/>
      <c r="J168" s="129"/>
      <c r="K168" s="129"/>
      <c r="L168" s="310">
        <v>0</v>
      </c>
      <c r="M168" s="310">
        <v>0</v>
      </c>
      <c r="N168" s="310">
        <v>0</v>
      </c>
      <c r="O168" s="310">
        <v>0</v>
      </c>
      <c r="P168" s="310">
        <v>0</v>
      </c>
      <c r="Q168" s="310">
        <v>0</v>
      </c>
      <c r="R168" s="310">
        <v>0</v>
      </c>
      <c r="S168" s="310">
        <v>0</v>
      </c>
      <c r="T168" s="310">
        <v>590.26</v>
      </c>
      <c r="U168" s="310">
        <v>590.26</v>
      </c>
      <c r="V168" s="310">
        <v>590.26</v>
      </c>
      <c r="W168" s="310">
        <v>596.70000000000005</v>
      </c>
      <c r="X168" s="310">
        <v>774.86</v>
      </c>
      <c r="Y168" s="310">
        <f>AE168</f>
        <v>1040.8499999999999</v>
      </c>
      <c r="Z168" s="310"/>
      <c r="AB168" s="310">
        <v>774.86</v>
      </c>
      <c r="AC168" s="310">
        <v>833.5</v>
      </c>
      <c r="AD168" s="310">
        <v>950.83999999999992</v>
      </c>
      <c r="AE168" s="310">
        <v>1040.8499999999999</v>
      </c>
      <c r="AF168" s="310" vm="566">
        <v>175</v>
      </c>
      <c r="AG168" s="308"/>
      <c r="AH168" s="308"/>
      <c r="AI168" s="308"/>
      <c r="AK168" s="310"/>
      <c r="AL168" s="310"/>
      <c r="AM168" s="310"/>
      <c r="AN168" s="310"/>
      <c r="AO168" s="310"/>
      <c r="AP168" s="310"/>
      <c r="AQ168" s="310"/>
      <c r="AR168" s="310"/>
    </row>
    <row r="169" spans="2:44" ht="15" customHeight="1" x14ac:dyDescent="0.25">
      <c r="B169" s="129" t="s">
        <v>85</v>
      </c>
      <c r="C169" s="129"/>
      <c r="D169" s="129"/>
      <c r="E169" s="129"/>
      <c r="F169" s="129"/>
      <c r="G169" s="129"/>
      <c r="H169" s="129"/>
      <c r="I169" s="129"/>
      <c r="J169" s="129"/>
      <c r="K169" s="129"/>
      <c r="L169" s="310">
        <v>0</v>
      </c>
      <c r="M169" s="310">
        <v>0</v>
      </c>
      <c r="N169" s="310">
        <v>0</v>
      </c>
      <c r="O169" s="310">
        <v>0</v>
      </c>
      <c r="P169" s="310">
        <v>0</v>
      </c>
      <c r="Q169" s="310">
        <v>0</v>
      </c>
      <c r="R169" s="310">
        <v>0</v>
      </c>
      <c r="S169" s="310">
        <v>0</v>
      </c>
      <c r="T169" s="310">
        <v>1013.7</v>
      </c>
      <c r="U169" s="310">
        <v>1190.0999999999999</v>
      </c>
      <c r="V169" s="310">
        <v>1013.7</v>
      </c>
      <c r="W169" s="310">
        <v>1013.7</v>
      </c>
      <c r="X169" s="310">
        <v>1013.7</v>
      </c>
      <c r="Y169" s="310">
        <f>AE169</f>
        <v>1013.7</v>
      </c>
      <c r="Z169" s="310"/>
      <c r="AB169" s="310">
        <v>1013.7</v>
      </c>
      <c r="AC169" s="310">
        <v>1013.7</v>
      </c>
      <c r="AD169" s="310">
        <v>1013.7</v>
      </c>
      <c r="AE169" s="310">
        <v>1013.7</v>
      </c>
      <c r="AF169" s="310" vm="597">
        <v>175</v>
      </c>
      <c r="AG169" s="308"/>
      <c r="AH169" s="308"/>
      <c r="AI169" s="308"/>
      <c r="AK169" s="310"/>
      <c r="AL169" s="310"/>
      <c r="AM169" s="310"/>
      <c r="AN169" s="310"/>
      <c r="AO169" s="310"/>
      <c r="AP169" s="310"/>
      <c r="AQ169" s="310"/>
      <c r="AR169" s="310"/>
    </row>
    <row r="170" spans="2:44" ht="15" customHeight="1" x14ac:dyDescent="0.25">
      <c r="B170" s="126"/>
      <c r="C170" s="126"/>
      <c r="D170" s="126"/>
      <c r="E170" s="126"/>
      <c r="F170" s="126"/>
      <c r="G170" s="126"/>
      <c r="H170" s="126"/>
      <c r="I170" s="126"/>
      <c r="J170" s="126"/>
      <c r="K170" s="126"/>
      <c r="L170" s="428"/>
      <c r="M170" s="428"/>
      <c r="N170" s="428"/>
      <c r="O170" s="428"/>
      <c r="P170" s="428"/>
      <c r="Q170" s="313"/>
      <c r="R170" s="313"/>
      <c r="S170" s="313"/>
      <c r="T170" s="313"/>
      <c r="U170" s="313"/>
      <c r="V170" s="313"/>
      <c r="W170" s="223"/>
    </row>
    <row r="171" spans="2:44" ht="15" customHeight="1" x14ac:dyDescent="0.25">
      <c r="B171" s="39" t="s">
        <v>245</v>
      </c>
      <c r="C171" s="39"/>
      <c r="D171" s="39"/>
      <c r="E171" s="39"/>
      <c r="F171" s="39"/>
      <c r="G171" s="39"/>
      <c r="H171" s="39"/>
      <c r="I171" s="39"/>
      <c r="J171" s="39"/>
      <c r="K171" s="39"/>
      <c r="L171" s="325">
        <v>0.32</v>
      </c>
      <c r="M171" s="325">
        <v>0.33</v>
      </c>
      <c r="N171" s="325">
        <v>0.33</v>
      </c>
      <c r="O171" s="325">
        <v>0.32</v>
      </c>
      <c r="P171" s="325">
        <v>0.33</v>
      </c>
      <c r="Q171" s="325">
        <v>0.32</v>
      </c>
      <c r="R171" s="325">
        <v>0.33</v>
      </c>
      <c r="S171" s="325">
        <v>0.35</v>
      </c>
      <c r="T171" s="325">
        <v>0.34</v>
      </c>
      <c r="U171" s="325">
        <v>0.34</v>
      </c>
      <c r="V171" s="325">
        <v>0.33</v>
      </c>
      <c r="W171" s="325">
        <v>0.31</v>
      </c>
      <c r="X171" s="325">
        <v>0.33</v>
      </c>
      <c r="Y171" s="325" vm="419">
        <f t="shared" ref="Y171:Y177" si="136">AE171</f>
        <v>0.29832014970912651</v>
      </c>
      <c r="Z171" s="325"/>
      <c r="AB171" s="325" vm="73">
        <v>0.37091317349403086</v>
      </c>
      <c r="AC171" s="325" vm="161">
        <v>0.3296663666568132</v>
      </c>
      <c r="AD171" s="325" vm="271">
        <v>0.29413697312415343</v>
      </c>
      <c r="AE171" s="325" vm="419">
        <v>0.29832014970912651</v>
      </c>
      <c r="AF171" s="325" vm="585">
        <v>0.34963577500832971</v>
      </c>
      <c r="AG171" s="325"/>
      <c r="AH171" s="325"/>
      <c r="AI171" s="325"/>
      <c r="AK171"/>
      <c r="AL171"/>
      <c r="AM171"/>
      <c r="AN171"/>
      <c r="AO171"/>
      <c r="AP171"/>
      <c r="AQ171"/>
      <c r="AR171"/>
    </row>
    <row r="172" spans="2:44" ht="15" customHeight="1" x14ac:dyDescent="0.25">
      <c r="B172" s="129" t="s">
        <v>86</v>
      </c>
      <c r="C172" s="129"/>
      <c r="D172" s="129"/>
      <c r="E172" s="129"/>
      <c r="F172" s="129"/>
      <c r="G172" s="129"/>
      <c r="H172" s="129"/>
      <c r="I172" s="129"/>
      <c r="J172" s="129"/>
      <c r="K172" s="129"/>
      <c r="L172" s="305">
        <v>0</v>
      </c>
      <c r="M172" s="305">
        <v>0</v>
      </c>
      <c r="N172" s="305">
        <v>0</v>
      </c>
      <c r="O172" s="305">
        <v>0.28999999999999998</v>
      </c>
      <c r="P172" s="305">
        <v>0.28999999999999998</v>
      </c>
      <c r="Q172" s="305">
        <v>0.27</v>
      </c>
      <c r="R172" s="305">
        <v>0.31</v>
      </c>
      <c r="S172" s="305">
        <v>0.28999999999999998</v>
      </c>
      <c r="T172" s="305">
        <v>0.28000000000000003</v>
      </c>
      <c r="U172" s="305">
        <v>0.28000000000000003</v>
      </c>
      <c r="V172" s="305">
        <v>0.31</v>
      </c>
      <c r="W172" s="305">
        <v>0.33</v>
      </c>
      <c r="X172" s="305">
        <v>0.31</v>
      </c>
      <c r="Y172" s="305" vm="532">
        <f t="shared" si="136"/>
        <v>0.29604370928722701</v>
      </c>
      <c r="Z172" s="305"/>
      <c r="AB172" s="305" vm="104">
        <v>0.28358235372794616</v>
      </c>
      <c r="AC172" s="305" vm="398">
        <v>0.3202775519025578</v>
      </c>
      <c r="AD172" s="305" vm="249">
        <v>0.32344227264929781</v>
      </c>
      <c r="AE172" s="305" vm="532">
        <v>0.29604370928722701</v>
      </c>
      <c r="AF172" s="305" vm="598">
        <v>0.25672128069193018</v>
      </c>
      <c r="AG172" s="305"/>
      <c r="AH172" s="305"/>
      <c r="AI172" s="305"/>
      <c r="AK172"/>
      <c r="AL172"/>
      <c r="AM172"/>
      <c r="AN172"/>
      <c r="AO172"/>
      <c r="AP172"/>
      <c r="AQ172"/>
      <c r="AR172"/>
    </row>
    <row r="173" spans="2:44" ht="15" customHeight="1" x14ac:dyDescent="0.25">
      <c r="B173" s="129" t="s">
        <v>87</v>
      </c>
      <c r="C173" s="129"/>
      <c r="D173" s="129"/>
      <c r="E173" s="129"/>
      <c r="F173" s="129"/>
      <c r="G173" s="129"/>
      <c r="H173" s="129"/>
      <c r="I173" s="129"/>
      <c r="J173" s="129"/>
      <c r="K173" s="129"/>
      <c r="L173" s="305">
        <v>0</v>
      </c>
      <c r="M173" s="305">
        <v>0</v>
      </c>
      <c r="N173" s="305">
        <v>0</v>
      </c>
      <c r="O173" s="305">
        <v>0.37</v>
      </c>
      <c r="P173" s="305">
        <v>0.39</v>
      </c>
      <c r="Q173" s="305">
        <v>0.35</v>
      </c>
      <c r="R173" s="305">
        <v>0.38</v>
      </c>
      <c r="S173" s="305">
        <v>0.39</v>
      </c>
      <c r="T173" s="305">
        <v>0.37</v>
      </c>
      <c r="U173" s="305">
        <v>0.37</v>
      </c>
      <c r="V173" s="305">
        <v>0.35</v>
      </c>
      <c r="W173" s="305">
        <v>0.32</v>
      </c>
      <c r="X173" s="305">
        <v>0.34</v>
      </c>
      <c r="Y173" s="305" vm="533">
        <f t="shared" si="136"/>
        <v>0.30806358063423872</v>
      </c>
      <c r="Z173" s="305"/>
      <c r="AB173" s="305" vm="105">
        <v>0.37540241625026749</v>
      </c>
      <c r="AC173" s="305" vm="163">
        <v>0.32795381500677184</v>
      </c>
      <c r="AD173" s="305" vm="318">
        <v>0.30295270013455794</v>
      </c>
      <c r="AE173" s="305" vm="533">
        <v>0.30806358063423872</v>
      </c>
      <c r="AF173" s="305" vm="599">
        <v>0.34823600759234508</v>
      </c>
      <c r="AG173" s="305"/>
      <c r="AH173" s="305"/>
      <c r="AI173" s="305"/>
      <c r="AK173"/>
      <c r="AL173"/>
      <c r="AM173"/>
      <c r="AN173"/>
      <c r="AO173"/>
      <c r="AP173"/>
      <c r="AQ173"/>
      <c r="AR173"/>
    </row>
    <row r="174" spans="2:44" ht="15" customHeight="1" x14ac:dyDescent="0.25">
      <c r="B174" s="129" t="s">
        <v>88</v>
      </c>
      <c r="C174" s="129"/>
      <c r="D174" s="129"/>
      <c r="E174" s="129"/>
      <c r="F174" s="129"/>
      <c r="G174" s="129"/>
      <c r="H174" s="129"/>
      <c r="I174" s="129"/>
      <c r="J174" s="129"/>
      <c r="K174" s="129"/>
      <c r="L174" s="305">
        <v>0</v>
      </c>
      <c r="M174" s="305">
        <v>0</v>
      </c>
      <c r="N174" s="305">
        <v>0</v>
      </c>
      <c r="O174" s="305">
        <v>0.28000000000000003</v>
      </c>
      <c r="P174" s="305">
        <v>0.28999999999999998</v>
      </c>
      <c r="Q174" s="305">
        <v>0.31</v>
      </c>
      <c r="R174" s="305">
        <v>0.31</v>
      </c>
      <c r="S174" s="305">
        <v>0.33</v>
      </c>
      <c r="T174" s="305">
        <v>0.32</v>
      </c>
      <c r="U174" s="305">
        <v>0.32</v>
      </c>
      <c r="V174" s="305">
        <v>0.31</v>
      </c>
      <c r="W174" s="305">
        <v>0.3</v>
      </c>
      <c r="X174" s="305">
        <v>0.32</v>
      </c>
      <c r="Y174" s="305" vm="436">
        <f t="shared" si="136"/>
        <v>0.28131481898918614</v>
      </c>
      <c r="Z174" s="305"/>
      <c r="AB174" s="305" vm="76">
        <v>0.39853420810999485</v>
      </c>
      <c r="AC174" s="305" vm="398">
        <v>0.32887109656030888</v>
      </c>
      <c r="AD174" s="305" vm="249">
        <v>0.26572905699837024</v>
      </c>
      <c r="AE174" s="305" vm="436">
        <v>0.28131481898918614</v>
      </c>
      <c r="AF174" s="305" vm="581">
        <v>0.37915688966342315</v>
      </c>
      <c r="AG174" s="305"/>
      <c r="AH174" s="305"/>
      <c r="AI174" s="305"/>
      <c r="AK174"/>
      <c r="AL174"/>
      <c r="AM174"/>
      <c r="AN174"/>
      <c r="AO174"/>
      <c r="AP174"/>
      <c r="AQ174"/>
      <c r="AR174"/>
    </row>
    <row r="175" spans="2:44" ht="15" customHeight="1" x14ac:dyDescent="0.25">
      <c r="B175" s="130" t="s">
        <v>53</v>
      </c>
      <c r="C175" s="130"/>
      <c r="D175" s="130"/>
      <c r="E175" s="130"/>
      <c r="F175" s="130"/>
      <c r="G175" s="130"/>
      <c r="H175" s="130"/>
      <c r="I175" s="130"/>
      <c r="J175" s="130"/>
      <c r="K175" s="130"/>
      <c r="L175" s="305">
        <v>0.32</v>
      </c>
      <c r="M175" s="305">
        <v>0.33</v>
      </c>
      <c r="N175" s="305">
        <v>0.33</v>
      </c>
      <c r="O175" s="305">
        <v>0.32</v>
      </c>
      <c r="P175" s="305">
        <v>0.33</v>
      </c>
      <c r="Q175" s="305">
        <v>0.32</v>
      </c>
      <c r="R175" s="305">
        <v>0.33</v>
      </c>
      <c r="S175" s="305">
        <v>0.35</v>
      </c>
      <c r="T175" s="305">
        <v>0.34</v>
      </c>
      <c r="U175" s="305">
        <v>0.34</v>
      </c>
      <c r="V175" s="305">
        <v>0.33</v>
      </c>
      <c r="W175" s="305">
        <v>0.31</v>
      </c>
      <c r="X175" s="305">
        <v>0.33</v>
      </c>
      <c r="Y175" s="305" vm="554">
        <f t="shared" si="136"/>
        <v>0.29526330755880803</v>
      </c>
      <c r="Z175" s="305"/>
      <c r="AB175" s="305" vm="74">
        <v>0.37363530754947349</v>
      </c>
      <c r="AC175" s="305" vm="399">
        <v>0.32737707762797236</v>
      </c>
      <c r="AD175" s="305" vm="319">
        <v>0.28981645941774314</v>
      </c>
      <c r="AE175" s="305" vm="554">
        <v>0.29526330755880803</v>
      </c>
      <c r="AF175" s="305" vm="622">
        <v>0.34980274956480306</v>
      </c>
      <c r="AG175" s="305"/>
      <c r="AH175" s="305"/>
      <c r="AI175" s="305"/>
      <c r="AK175"/>
      <c r="AL175"/>
      <c r="AM175"/>
      <c r="AN175"/>
      <c r="AO175"/>
      <c r="AP175"/>
      <c r="AQ175"/>
      <c r="AR175"/>
    </row>
    <row r="176" spans="2:44" ht="15" customHeight="1" x14ac:dyDescent="0.25">
      <c r="B176" s="130" t="s">
        <v>54</v>
      </c>
      <c r="C176" s="130"/>
      <c r="D176" s="130"/>
      <c r="E176" s="130"/>
      <c r="F176" s="130"/>
      <c r="G176" s="130"/>
      <c r="H176" s="130"/>
      <c r="I176" s="130"/>
      <c r="J176" s="130"/>
      <c r="K176" s="130"/>
      <c r="L176" s="305" t="s">
        <v>17</v>
      </c>
      <c r="M176" s="305" t="s">
        <v>17</v>
      </c>
      <c r="N176" s="305" t="s">
        <v>17</v>
      </c>
      <c r="O176" s="305">
        <v>0</v>
      </c>
      <c r="P176" s="305">
        <v>0.27</v>
      </c>
      <c r="Q176" s="305">
        <v>0.27</v>
      </c>
      <c r="R176" s="305">
        <v>0.28000000000000003</v>
      </c>
      <c r="S176" s="305">
        <v>0.28000000000000003</v>
      </c>
      <c r="T176" s="305">
        <v>0.27</v>
      </c>
      <c r="U176" s="305">
        <v>0.27</v>
      </c>
      <c r="V176" s="305">
        <v>0.3</v>
      </c>
      <c r="W176" s="305">
        <v>0.28000000000000003</v>
      </c>
      <c r="X176" s="305">
        <v>0.32</v>
      </c>
      <c r="Y176" s="305" vm="538">
        <f t="shared" si="136"/>
        <v>0.26690283043616886</v>
      </c>
      <c r="Z176" s="305"/>
      <c r="AB176" s="305" vm="106">
        <v>0.28116991489987214</v>
      </c>
      <c r="AC176" s="305" vm="400">
        <v>0.2727304486764629</v>
      </c>
      <c r="AD176" s="305" vm="216">
        <v>0.24365158398231962</v>
      </c>
      <c r="AE176" s="305" vm="538">
        <v>0.26690283043616886</v>
      </c>
      <c r="AF176" s="305" vm="598">
        <v>0.25672128069193018</v>
      </c>
      <c r="AG176" s="305"/>
      <c r="AH176" s="305"/>
      <c r="AI176" s="305"/>
      <c r="AK176"/>
      <c r="AL176"/>
      <c r="AM176"/>
      <c r="AN176"/>
      <c r="AO176"/>
      <c r="AP176"/>
      <c r="AQ176"/>
      <c r="AR176"/>
    </row>
    <row r="177" spans="2:44" ht="15" customHeight="1" x14ac:dyDescent="0.25">
      <c r="B177" s="130" t="s">
        <v>55</v>
      </c>
      <c r="C177" s="130"/>
      <c r="D177" s="130"/>
      <c r="E177" s="130"/>
      <c r="F177" s="130"/>
      <c r="G177" s="130"/>
      <c r="H177" s="130"/>
      <c r="I177" s="130"/>
      <c r="J177" s="130"/>
      <c r="K177" s="130"/>
      <c r="L177" s="305" t="s">
        <v>17</v>
      </c>
      <c r="M177" s="305" t="s">
        <v>17</v>
      </c>
      <c r="N177" s="305" t="s">
        <v>17</v>
      </c>
      <c r="O177" s="305" t="s">
        <v>17</v>
      </c>
      <c r="P177" s="305" t="s">
        <v>17</v>
      </c>
      <c r="Q177" s="305" t="s">
        <v>17</v>
      </c>
      <c r="R177" s="305" t="s">
        <v>17</v>
      </c>
      <c r="S177" s="305">
        <v>0.39</v>
      </c>
      <c r="T177" s="305">
        <v>0.4</v>
      </c>
      <c r="U177" s="305">
        <v>0.42</v>
      </c>
      <c r="V177" s="305">
        <v>0.41</v>
      </c>
      <c r="W177" s="305">
        <v>0.41</v>
      </c>
      <c r="X177" s="305">
        <v>0.45</v>
      </c>
      <c r="Y177" s="305" vm="538">
        <f t="shared" si="136"/>
        <v>0.35318107027305823</v>
      </c>
      <c r="Z177" s="305"/>
      <c r="AB177" s="305" vm="107">
        <v>0.36028733149075226</v>
      </c>
      <c r="AC177" s="305" vm="401">
        <v>0.38160988704227433</v>
      </c>
      <c r="AD177" s="305" vm="320">
        <v>0.37366495768099928</v>
      </c>
      <c r="AE177" s="305" vm="538">
        <v>0.35318107027305823</v>
      </c>
      <c r="AF177" s="305" vm="599">
        <v>0.34823600759234508</v>
      </c>
      <c r="AG177" s="305"/>
      <c r="AH177" s="305"/>
      <c r="AI177" s="305"/>
      <c r="AK177"/>
      <c r="AL177"/>
      <c r="AM177"/>
      <c r="AN177"/>
      <c r="AO177"/>
      <c r="AP177"/>
      <c r="AQ177"/>
      <c r="AR177"/>
    </row>
    <row r="178" spans="2:44" ht="15" customHeight="1" x14ac:dyDescent="0.25">
      <c r="B178" s="130"/>
      <c r="C178" s="130"/>
      <c r="D178" s="130"/>
      <c r="E178" s="130"/>
      <c r="F178" s="130"/>
      <c r="G178" s="130"/>
      <c r="H178" s="130"/>
      <c r="I178" s="130"/>
      <c r="J178" s="130"/>
      <c r="K178" s="130"/>
      <c r="L178" s="427"/>
      <c r="M178" s="427"/>
      <c r="N178" s="427"/>
      <c r="O178" s="427"/>
      <c r="P178" s="427"/>
      <c r="Q178" s="313"/>
      <c r="R178" s="313"/>
      <c r="S178" s="313"/>
      <c r="T178" s="313"/>
      <c r="U178" s="313"/>
      <c r="W178" s="223"/>
    </row>
    <row r="179" spans="2:44" ht="15" customHeight="1" x14ac:dyDescent="0.25">
      <c r="B179" s="39" t="s">
        <v>246</v>
      </c>
      <c r="C179" s="39"/>
      <c r="D179" s="39"/>
      <c r="E179" s="39"/>
      <c r="F179" s="39"/>
      <c r="G179" s="39"/>
      <c r="H179" s="39"/>
      <c r="I179" s="39"/>
      <c r="J179" s="39"/>
      <c r="K179" s="39"/>
      <c r="L179" s="331">
        <v>7689.48</v>
      </c>
      <c r="M179" s="331">
        <v>9330.33</v>
      </c>
      <c r="N179" s="331">
        <v>9936.74</v>
      </c>
      <c r="O179" s="331">
        <v>9769.35</v>
      </c>
      <c r="P179" s="331">
        <v>10203.790000000001</v>
      </c>
      <c r="Q179" s="331">
        <v>11103.44</v>
      </c>
      <c r="R179" s="331">
        <v>12576.21</v>
      </c>
      <c r="S179" s="331">
        <v>15090.89</v>
      </c>
      <c r="T179" s="331">
        <v>15644.05</v>
      </c>
      <c r="U179" s="331">
        <v>16492.400000000001</v>
      </c>
      <c r="V179" s="331">
        <v>17420.77</v>
      </c>
      <c r="W179" s="331">
        <v>17056.53</v>
      </c>
      <c r="X179" s="331">
        <v>18361.919999999998</v>
      </c>
      <c r="Y179" s="331">
        <f>AE179</f>
        <v>17306.070312476</v>
      </c>
      <c r="Z179" s="331"/>
      <c r="AB179" s="331">
        <v>5174.0593573863898</v>
      </c>
      <c r="AC179" s="331">
        <v>9320.9131755548988</v>
      </c>
      <c r="AD179" s="331">
        <v>12663.98945496064</v>
      </c>
      <c r="AE179" s="331">
        <v>17306.070312476</v>
      </c>
      <c r="AF179" s="331">
        <v>5397.9278583000005</v>
      </c>
      <c r="AG179" s="331"/>
      <c r="AH179" s="331"/>
      <c r="AI179" s="331"/>
      <c r="AK179" s="331">
        <f>AB179</f>
        <v>5174.0593573863898</v>
      </c>
      <c r="AL179" s="331">
        <f t="shared" ref="AL179:AN183" si="137">AC179-AB179</f>
        <v>4146.853818168509</v>
      </c>
      <c r="AM179" s="331">
        <f t="shared" si="137"/>
        <v>3343.0762794057409</v>
      </c>
      <c r="AN179" s="331">
        <f t="shared" si="137"/>
        <v>4642.0808575153605</v>
      </c>
      <c r="AO179" s="331">
        <f>AF179</f>
        <v>5397.9278583000005</v>
      </c>
      <c r="AP179" s="331"/>
      <c r="AQ179" s="331"/>
      <c r="AR179" s="331"/>
    </row>
    <row r="180" spans="2:44" ht="15" customHeight="1" x14ac:dyDescent="0.25">
      <c r="B180" s="129" t="s">
        <v>80</v>
      </c>
      <c r="C180" s="129"/>
      <c r="D180" s="129"/>
      <c r="E180" s="129"/>
      <c r="F180" s="129"/>
      <c r="G180" s="129"/>
      <c r="H180" s="129"/>
      <c r="I180" s="129"/>
      <c r="J180" s="129"/>
      <c r="K180" s="129"/>
      <c r="L180" s="306">
        <v>5366.73</v>
      </c>
      <c r="M180" s="306">
        <v>6715.97</v>
      </c>
      <c r="N180" s="306">
        <v>7409.08</v>
      </c>
      <c r="O180" s="306">
        <v>7794.98</v>
      </c>
      <c r="P180" s="306">
        <v>8384.32</v>
      </c>
      <c r="Q180" s="306">
        <v>9281.6200000000008</v>
      </c>
      <c r="R180" s="306">
        <v>10350.549999999999</v>
      </c>
      <c r="S180" s="306">
        <v>12164.05</v>
      </c>
      <c r="T180" s="306">
        <v>12287.61</v>
      </c>
      <c r="U180" s="306">
        <v>12987.49</v>
      </c>
      <c r="V180" s="306">
        <v>13901.87</v>
      </c>
      <c r="W180" s="306">
        <v>13507.02</v>
      </c>
      <c r="X180" s="306">
        <v>14558.51</v>
      </c>
      <c r="Y180" s="306">
        <f>AE180</f>
        <v>13172.517658594361</v>
      </c>
      <c r="Z180" s="306"/>
      <c r="AB180" s="306">
        <v>3987.5817149038198</v>
      </c>
      <c r="AC180" s="306">
        <v>7159.2136193369179</v>
      </c>
      <c r="AD180" s="306">
        <v>9746.5556152254103</v>
      </c>
      <c r="AE180" s="306">
        <v>13172.517658594361</v>
      </c>
      <c r="AF180" s="306">
        <v>4278.1395228000001</v>
      </c>
      <c r="AG180" s="306"/>
      <c r="AH180" s="306"/>
      <c r="AI180" s="306"/>
      <c r="AK180" s="306">
        <f>AB180</f>
        <v>3987.5817149038198</v>
      </c>
      <c r="AL180" s="306">
        <f t="shared" si="137"/>
        <v>3171.631904433098</v>
      </c>
      <c r="AM180" s="306">
        <f t="shared" si="137"/>
        <v>2587.3419958884924</v>
      </c>
      <c r="AN180" s="306">
        <f t="shared" si="137"/>
        <v>3425.9620433689506</v>
      </c>
      <c r="AO180" s="306">
        <f>AF180</f>
        <v>4278.1395228000001</v>
      </c>
      <c r="AP180" s="306"/>
      <c r="AQ180" s="306"/>
      <c r="AR180" s="306"/>
    </row>
    <row r="181" spans="2:44" ht="15" customHeight="1" x14ac:dyDescent="0.25">
      <c r="B181" s="129" t="s">
        <v>81</v>
      </c>
      <c r="C181" s="129"/>
      <c r="D181" s="129"/>
      <c r="E181" s="129"/>
      <c r="F181" s="129"/>
      <c r="G181" s="129"/>
      <c r="H181" s="129"/>
      <c r="I181" s="129"/>
      <c r="J181" s="129"/>
      <c r="K181" s="129"/>
      <c r="L181" s="306">
        <v>2322.75</v>
      </c>
      <c r="M181" s="306">
        <v>2614.36</v>
      </c>
      <c r="N181" s="306">
        <v>2527.66</v>
      </c>
      <c r="O181" s="306">
        <v>1974.37</v>
      </c>
      <c r="P181" s="306">
        <v>1760.77</v>
      </c>
      <c r="Q181" s="306">
        <v>1749.7</v>
      </c>
      <c r="R181" s="306">
        <v>2150.6799999999998</v>
      </c>
      <c r="S181" s="306">
        <v>2246.1</v>
      </c>
      <c r="T181" s="306">
        <v>2585.86</v>
      </c>
      <c r="U181" s="306">
        <v>2708.81</v>
      </c>
      <c r="V181" s="306">
        <v>2731.45</v>
      </c>
      <c r="W181" s="306">
        <v>2307.41</v>
      </c>
      <c r="X181" s="306">
        <v>2470.06</v>
      </c>
      <c r="Y181" s="306">
        <f>AE181</f>
        <v>2255.680706139578</v>
      </c>
      <c r="Z181" s="306"/>
      <c r="AB181" s="306">
        <v>756.45383445436062</v>
      </c>
      <c r="AC181" s="306">
        <v>1244.7802062840717</v>
      </c>
      <c r="AD181" s="306">
        <v>1545.5717743443206</v>
      </c>
      <c r="AE181" s="306">
        <v>2255.680706139578</v>
      </c>
      <c r="AF181" s="306">
        <v>420.46435320000001</v>
      </c>
      <c r="AG181" s="306"/>
      <c r="AH181" s="306"/>
      <c r="AI181" s="306"/>
      <c r="AK181" s="306">
        <f>AB181</f>
        <v>756.45383445436062</v>
      </c>
      <c r="AL181" s="306">
        <f t="shared" si="137"/>
        <v>488.32637182971109</v>
      </c>
      <c r="AM181" s="306">
        <f t="shared" si="137"/>
        <v>300.79156806024889</v>
      </c>
      <c r="AN181" s="306">
        <f t="shared" si="137"/>
        <v>710.10893179525738</v>
      </c>
      <c r="AO181" s="306">
        <f>AF181</f>
        <v>420.46435320000001</v>
      </c>
      <c r="AP181" s="306"/>
      <c r="AQ181" s="306"/>
      <c r="AR181" s="306"/>
    </row>
    <row r="182" spans="2:44" ht="15" customHeight="1" x14ac:dyDescent="0.25">
      <c r="B182" s="129" t="s">
        <v>54</v>
      </c>
      <c r="C182" s="129"/>
      <c r="D182" s="129"/>
      <c r="E182" s="129"/>
      <c r="F182" s="129"/>
      <c r="G182" s="129"/>
      <c r="H182" s="129"/>
      <c r="I182" s="129"/>
      <c r="J182" s="129"/>
      <c r="K182" s="129"/>
      <c r="L182" s="306" t="s">
        <v>17</v>
      </c>
      <c r="M182" s="306" t="s">
        <v>17</v>
      </c>
      <c r="N182" s="306" t="s">
        <v>17</v>
      </c>
      <c r="O182" s="306">
        <v>0</v>
      </c>
      <c r="P182" s="306">
        <v>58.69</v>
      </c>
      <c r="Q182" s="306">
        <v>72.02</v>
      </c>
      <c r="R182" s="306">
        <v>74.98</v>
      </c>
      <c r="S182" s="306">
        <v>74.709999999999994</v>
      </c>
      <c r="T182" s="306">
        <v>71.23</v>
      </c>
      <c r="U182" s="306">
        <v>69.849999999999994</v>
      </c>
      <c r="V182" s="306">
        <v>77.95</v>
      </c>
      <c r="W182" s="306">
        <v>255.36</v>
      </c>
      <c r="X182" s="306">
        <v>360.48</v>
      </c>
      <c r="Y182" s="306">
        <f>AE182</f>
        <v>393.9619481327</v>
      </c>
      <c r="Z182" s="306"/>
      <c r="AB182" s="306">
        <v>79.047007932</v>
      </c>
      <c r="AC182" s="306">
        <v>154.2195898377</v>
      </c>
      <c r="AD182" s="306">
        <v>207.80895673269998</v>
      </c>
      <c r="AE182" s="306">
        <v>393.9619481327</v>
      </c>
      <c r="AF182" s="306">
        <v>340.89448340000001</v>
      </c>
      <c r="AG182" s="306"/>
      <c r="AH182" s="306"/>
      <c r="AI182" s="306"/>
      <c r="AK182" s="306">
        <f>AB182</f>
        <v>79.047007932</v>
      </c>
      <c r="AL182" s="306">
        <f t="shared" si="137"/>
        <v>75.1725819057</v>
      </c>
      <c r="AM182" s="306">
        <f t="shared" si="137"/>
        <v>53.589366894999984</v>
      </c>
      <c r="AN182" s="306">
        <f t="shared" si="137"/>
        <v>186.15299140000002</v>
      </c>
      <c r="AO182" s="306">
        <f>AF182</f>
        <v>340.89448340000001</v>
      </c>
      <c r="AP182" s="306"/>
      <c r="AQ182" s="306"/>
      <c r="AR182" s="306"/>
    </row>
    <row r="183" spans="2:44" ht="15" customHeight="1" x14ac:dyDescent="0.25">
      <c r="B183" s="129" t="s">
        <v>55</v>
      </c>
      <c r="C183" s="129"/>
      <c r="D183" s="129"/>
      <c r="E183" s="129"/>
      <c r="F183" s="129"/>
      <c r="G183" s="129"/>
      <c r="H183" s="129"/>
      <c r="I183" s="129"/>
      <c r="J183" s="129"/>
      <c r="K183" s="129"/>
      <c r="L183" s="306" t="s">
        <v>17</v>
      </c>
      <c r="M183" s="306" t="s">
        <v>17</v>
      </c>
      <c r="N183" s="306" t="s">
        <v>17</v>
      </c>
      <c r="O183" s="306" t="s">
        <v>17</v>
      </c>
      <c r="P183" s="306" t="s">
        <v>17</v>
      </c>
      <c r="Q183" s="306" t="s">
        <v>17</v>
      </c>
      <c r="R183" s="306">
        <v>0</v>
      </c>
      <c r="S183" s="306">
        <v>606.37</v>
      </c>
      <c r="T183" s="306">
        <v>699.79</v>
      </c>
      <c r="U183" s="306">
        <v>726.25</v>
      </c>
      <c r="V183" s="306">
        <v>709.82</v>
      </c>
      <c r="W183" s="306">
        <v>986.74</v>
      </c>
      <c r="X183" s="306">
        <v>972.87</v>
      </c>
      <c r="Y183" s="306">
        <f>AE183</f>
        <v>1483.9100007772099</v>
      </c>
      <c r="Z183" s="306"/>
      <c r="AB183" s="306">
        <v>350.97680009621001</v>
      </c>
      <c r="AC183" s="306">
        <v>762.69976009621007</v>
      </c>
      <c r="AD183" s="306">
        <v>1164.05310865821</v>
      </c>
      <c r="AE183" s="306">
        <v>1483.9100007772099</v>
      </c>
      <c r="AF183" s="306">
        <v>358.4294989</v>
      </c>
      <c r="AG183" s="306"/>
      <c r="AH183" s="306"/>
      <c r="AI183" s="306"/>
      <c r="AK183" s="306">
        <f>AB183</f>
        <v>350.97680009621001</v>
      </c>
      <c r="AL183" s="306">
        <f t="shared" si="137"/>
        <v>411.72296000000006</v>
      </c>
      <c r="AM183" s="306">
        <f t="shared" si="137"/>
        <v>401.35334856199995</v>
      </c>
      <c r="AN183" s="306">
        <f t="shared" si="137"/>
        <v>319.85689211899989</v>
      </c>
      <c r="AO183" s="306">
        <f>AF183</f>
        <v>358.4294989</v>
      </c>
      <c r="AP183" s="306"/>
      <c r="AQ183" s="306"/>
      <c r="AR183" s="306"/>
    </row>
    <row r="184" spans="2:44" ht="15" customHeight="1" x14ac:dyDescent="0.25">
      <c r="B184" s="129"/>
      <c r="C184" s="129"/>
      <c r="D184" s="129"/>
      <c r="E184" s="129"/>
      <c r="F184" s="129"/>
      <c r="G184" s="129"/>
      <c r="H184" s="129"/>
      <c r="I184" s="129"/>
      <c r="J184" s="129"/>
      <c r="K184" s="129"/>
      <c r="L184" s="429"/>
      <c r="M184" s="429"/>
      <c r="N184" s="429"/>
      <c r="O184" s="429"/>
      <c r="P184" s="429"/>
      <c r="Q184" s="315"/>
      <c r="R184" s="315"/>
      <c r="S184" s="315"/>
      <c r="T184" s="315"/>
      <c r="U184" s="315"/>
      <c r="W184" s="223"/>
    </row>
    <row r="185" spans="2:44" ht="15" customHeight="1" x14ac:dyDescent="0.25">
      <c r="B185" s="39" t="s">
        <v>89</v>
      </c>
      <c r="C185" s="39"/>
      <c r="D185" s="39"/>
      <c r="E185" s="39"/>
      <c r="F185" s="39"/>
      <c r="G185" s="39"/>
      <c r="H185" s="39"/>
      <c r="I185" s="39"/>
      <c r="J185" s="39"/>
      <c r="K185" s="39"/>
      <c r="L185" s="328">
        <v>47.67</v>
      </c>
      <c r="M185" s="328">
        <v>45.7</v>
      </c>
      <c r="N185" s="328">
        <v>47.13</v>
      </c>
      <c r="O185" s="328">
        <v>48.41</v>
      </c>
      <c r="P185" s="328">
        <v>50.83</v>
      </c>
      <c r="Q185" s="328">
        <v>51.02</v>
      </c>
      <c r="R185" s="328">
        <v>46.44</v>
      </c>
      <c r="S185" s="328">
        <v>46.43</v>
      </c>
      <c r="T185" s="328">
        <v>45.3</v>
      </c>
      <c r="U185" s="328">
        <v>45.27</v>
      </c>
      <c r="V185" s="328">
        <v>43.96</v>
      </c>
      <c r="W185" s="328">
        <v>43.91</v>
      </c>
      <c r="X185" s="328">
        <v>42.59</v>
      </c>
      <c r="Y185" s="328">
        <f>AE185</f>
        <v>46.153750158398282</v>
      </c>
      <c r="Z185" s="328"/>
      <c r="AB185" s="328">
        <v>44.167562325799672</v>
      </c>
      <c r="AC185" s="328">
        <v>46.65995091035326</v>
      </c>
      <c r="AD185" s="328">
        <v>47.165699704385702</v>
      </c>
      <c r="AE185" s="328">
        <v>46.153750158398282</v>
      </c>
      <c r="AF185" s="328">
        <v>44.723245080538845</v>
      </c>
      <c r="AG185" s="328"/>
      <c r="AH185" s="328"/>
      <c r="AI185" s="328"/>
      <c r="AK185"/>
      <c r="AL185"/>
      <c r="AM185"/>
      <c r="AN185"/>
      <c r="AO185" s="328"/>
      <c r="AP185" s="328"/>
      <c r="AQ185" s="328"/>
      <c r="AR185" s="328"/>
    </row>
    <row r="186" spans="2:44" ht="15" customHeight="1" x14ac:dyDescent="0.25">
      <c r="B186" s="129" t="s">
        <v>53</v>
      </c>
      <c r="C186" s="129"/>
      <c r="D186" s="129"/>
      <c r="E186" s="129"/>
      <c r="F186" s="129"/>
      <c r="G186" s="129"/>
      <c r="H186" s="129"/>
      <c r="I186" s="129"/>
      <c r="J186" s="129"/>
      <c r="K186" s="129"/>
      <c r="L186" s="329">
        <v>47.67</v>
      </c>
      <c r="M186" s="329">
        <v>45.7</v>
      </c>
      <c r="N186" s="329">
        <v>47.13</v>
      </c>
      <c r="O186" s="329">
        <v>48.41</v>
      </c>
      <c r="P186" s="329">
        <v>50.36</v>
      </c>
      <c r="Q186" s="329">
        <v>50.62</v>
      </c>
      <c r="R186" s="329">
        <v>46.06</v>
      </c>
      <c r="S186" s="329">
        <v>45.54</v>
      </c>
      <c r="T186" s="329">
        <v>44.07</v>
      </c>
      <c r="U186" s="329">
        <v>44.05</v>
      </c>
      <c r="V186" s="329">
        <v>42.67</v>
      </c>
      <c r="W186" s="329">
        <v>42.26</v>
      </c>
      <c r="X186" s="329">
        <v>41.06</v>
      </c>
      <c r="Y186" s="329">
        <f>AE186</f>
        <v>45.338732391474267</v>
      </c>
      <c r="Z186" s="329"/>
      <c r="AB186" s="329">
        <v>43.040089908304559</v>
      </c>
      <c r="AC186" s="329">
        <v>45.878584143583275</v>
      </c>
      <c r="AD186" s="329">
        <v>46.471297459561143</v>
      </c>
      <c r="AE186" s="329">
        <v>45.338732391474267</v>
      </c>
      <c r="AF186" s="329">
        <v>44.596081674495608</v>
      </c>
      <c r="AG186" s="329"/>
      <c r="AH186" s="329"/>
      <c r="AI186" s="329"/>
      <c r="AK186"/>
      <c r="AL186"/>
      <c r="AM186"/>
      <c r="AN186"/>
      <c r="AO186" s="329"/>
      <c r="AP186" s="329"/>
      <c r="AQ186" s="329"/>
      <c r="AR186" s="329"/>
    </row>
    <row r="187" spans="2:44" ht="15" customHeight="1" x14ac:dyDescent="0.25">
      <c r="B187" s="129" t="s">
        <v>54</v>
      </c>
      <c r="C187" s="129"/>
      <c r="D187" s="129"/>
      <c r="E187" s="129"/>
      <c r="F187" s="129"/>
      <c r="G187" s="129"/>
      <c r="H187" s="129"/>
      <c r="I187" s="129"/>
      <c r="J187" s="129"/>
      <c r="K187" s="129"/>
      <c r="L187" s="329">
        <v>0</v>
      </c>
      <c r="M187" s="329">
        <v>0</v>
      </c>
      <c r="N187" s="329">
        <v>0</v>
      </c>
      <c r="O187" s="329">
        <v>0</v>
      </c>
      <c r="P187" s="329">
        <v>131.97</v>
      </c>
      <c r="Q187" s="329">
        <v>112.85</v>
      </c>
      <c r="R187" s="329">
        <v>109.44</v>
      </c>
      <c r="S187" s="329">
        <v>112.05</v>
      </c>
      <c r="T187" s="329">
        <v>112.83</v>
      </c>
      <c r="U187" s="329">
        <v>110.71</v>
      </c>
      <c r="V187" s="329">
        <v>110.31</v>
      </c>
      <c r="W187" s="329">
        <v>67.77</v>
      </c>
      <c r="X187" s="329">
        <v>67.290000000000006</v>
      </c>
      <c r="Y187" s="329">
        <f>AE187</f>
        <v>61.425255226311144</v>
      </c>
      <c r="Z187" s="329"/>
      <c r="AB187" s="329">
        <v>72.757590625990446</v>
      </c>
      <c r="AC187" s="329">
        <v>70.69142111436183</v>
      </c>
      <c r="AD187" s="329">
        <v>70.311395057245804</v>
      </c>
      <c r="AE187" s="329">
        <v>61.425255226311144</v>
      </c>
      <c r="AF187" s="329">
        <v>45.37237552630711</v>
      </c>
      <c r="AG187" s="329"/>
      <c r="AH187" s="329"/>
      <c r="AI187" s="329"/>
      <c r="AK187"/>
      <c r="AL187"/>
      <c r="AM187"/>
      <c r="AN187"/>
      <c r="AO187" s="329"/>
      <c r="AP187" s="329"/>
      <c r="AQ187" s="329"/>
      <c r="AR187" s="329"/>
    </row>
    <row r="188" spans="2:44" ht="15" customHeight="1" x14ac:dyDescent="0.25">
      <c r="B188" s="129" t="s">
        <v>55</v>
      </c>
      <c r="C188" s="129"/>
      <c r="D188" s="129"/>
      <c r="E188" s="129"/>
      <c r="F188" s="129"/>
      <c r="G188" s="129"/>
      <c r="H188" s="129"/>
      <c r="I188" s="129"/>
      <c r="J188" s="129"/>
      <c r="K188" s="129"/>
      <c r="L188" s="329" t="s">
        <v>17</v>
      </c>
      <c r="M188" s="329" t="s">
        <v>17</v>
      </c>
      <c r="N188" s="329" t="s">
        <v>17</v>
      </c>
      <c r="O188" s="329" t="s">
        <v>17</v>
      </c>
      <c r="P188" s="329" t="s">
        <v>17</v>
      </c>
      <c r="Q188" s="329" t="s">
        <v>17</v>
      </c>
      <c r="R188" s="329" t="s">
        <v>17</v>
      </c>
      <c r="S188" s="329">
        <v>59.52</v>
      </c>
      <c r="T188" s="329">
        <v>64.44</v>
      </c>
      <c r="U188" s="329">
        <v>65.400000000000006</v>
      </c>
      <c r="V188" s="329">
        <v>66.930000000000007</v>
      </c>
      <c r="W188" s="329">
        <v>64.08</v>
      </c>
      <c r="X188" s="329">
        <v>60.23</v>
      </c>
      <c r="Y188" s="329">
        <f>AE188</f>
        <v>50.573063922054018</v>
      </c>
      <c r="Z188" s="329"/>
      <c r="AB188" s="329">
        <v>52.968181155447922</v>
      </c>
      <c r="AC188" s="329">
        <v>50.410377337535358</v>
      </c>
      <c r="AD188" s="329">
        <v>49.769872814258655</v>
      </c>
      <c r="AE188" s="329">
        <v>50.573063922054018</v>
      </c>
      <c r="AF188" s="329">
        <v>45.77283917283922</v>
      </c>
      <c r="AG188" s="329"/>
      <c r="AH188" s="329"/>
      <c r="AI188" s="329"/>
      <c r="AK188"/>
      <c r="AL188"/>
      <c r="AM188"/>
      <c r="AN188"/>
      <c r="AO188" s="329"/>
      <c r="AP188" s="329"/>
      <c r="AQ188" s="329"/>
      <c r="AR188" s="329"/>
    </row>
    <row r="189" spans="2:44" ht="15" customHeight="1" x14ac:dyDescent="0.25">
      <c r="Q189" s="332"/>
      <c r="R189" s="332"/>
      <c r="S189" s="332"/>
      <c r="T189" s="332"/>
      <c r="U189" s="332"/>
    </row>
    <row r="190" spans="2:44" ht="30" customHeight="1" x14ac:dyDescent="0.25">
      <c r="B190" s="181" t="s">
        <v>41</v>
      </c>
      <c r="C190" s="181"/>
      <c r="D190" s="181"/>
      <c r="E190" s="181"/>
      <c r="F190" s="181"/>
      <c r="G190" s="181"/>
      <c r="H190" s="181"/>
      <c r="I190" s="181"/>
      <c r="J190" s="181"/>
      <c r="K190" s="181"/>
      <c r="L190" s="224"/>
      <c r="M190" s="224"/>
      <c r="N190" s="224"/>
      <c r="O190" s="224"/>
      <c r="P190" s="224"/>
      <c r="Q190" s="224"/>
      <c r="R190" s="224"/>
      <c r="S190" s="224"/>
      <c r="T190" s="224"/>
      <c r="U190" s="225"/>
      <c r="V190" s="225"/>
    </row>
    <row r="191" spans="2:44" ht="15" customHeight="1" x14ac:dyDescent="0.25">
      <c r="B191" s="169" t="s">
        <v>40</v>
      </c>
      <c r="C191" s="169"/>
      <c r="D191" s="169"/>
      <c r="E191" s="169"/>
      <c r="F191" s="169"/>
      <c r="G191" s="169"/>
      <c r="H191" s="169"/>
      <c r="I191" s="169"/>
      <c r="J191" s="169"/>
      <c r="K191" s="169"/>
      <c r="L191" s="228">
        <v>2010</v>
      </c>
      <c r="M191" s="228">
        <v>2011</v>
      </c>
      <c r="N191" s="228">
        <v>2012</v>
      </c>
      <c r="O191" s="228">
        <v>2013</v>
      </c>
      <c r="P191" s="228">
        <v>2014</v>
      </c>
      <c r="Q191" s="228">
        <v>2015</v>
      </c>
      <c r="R191" s="228">
        <v>2016</v>
      </c>
      <c r="S191" s="228">
        <v>2017</v>
      </c>
      <c r="T191" s="228">
        <v>2018</v>
      </c>
      <c r="U191" s="228">
        <v>2019</v>
      </c>
      <c r="V191" s="228">
        <v>2020</v>
      </c>
      <c r="W191" s="228">
        <v>2021</v>
      </c>
      <c r="X191" s="231">
        <v>2022</v>
      </c>
      <c r="Y191" s="229">
        <v>2023</v>
      </c>
      <c r="Z191" s="230">
        <v>2024</v>
      </c>
      <c r="AB191" s="231" t="s">
        <v>291</v>
      </c>
      <c r="AC191" s="231" t="s">
        <v>292</v>
      </c>
      <c r="AD191" s="231" t="s">
        <v>293</v>
      </c>
      <c r="AE191" s="231">
        <v>2023</v>
      </c>
      <c r="AF191" s="232" t="s">
        <v>318</v>
      </c>
      <c r="AG191" s="232" t="s">
        <v>319</v>
      </c>
      <c r="AH191" s="232" t="s">
        <v>320</v>
      </c>
      <c r="AI191" s="232">
        <v>2024</v>
      </c>
      <c r="AK191" s="231" t="s">
        <v>291</v>
      </c>
      <c r="AL191" s="231" t="s">
        <v>296</v>
      </c>
      <c r="AM191" s="231" t="s">
        <v>294</v>
      </c>
      <c r="AN191" s="231" t="s">
        <v>295</v>
      </c>
      <c r="AO191" s="232" t="s">
        <v>318</v>
      </c>
      <c r="AP191" s="232" t="s">
        <v>321</v>
      </c>
      <c r="AQ191" s="232" t="s">
        <v>322</v>
      </c>
      <c r="AR191" s="232" t="s">
        <v>323</v>
      </c>
    </row>
    <row r="192" spans="2:44" ht="15" customHeight="1" x14ac:dyDescent="0.25">
      <c r="B192" s="40" t="s">
        <v>16</v>
      </c>
      <c r="C192" s="40"/>
      <c r="D192" s="40"/>
      <c r="E192" s="40"/>
      <c r="F192" s="40"/>
      <c r="G192" s="40"/>
      <c r="H192" s="40"/>
      <c r="I192" s="40"/>
      <c r="J192" s="40"/>
      <c r="K192" s="40"/>
      <c r="L192" s="301">
        <v>562.23</v>
      </c>
      <c r="M192" s="301">
        <v>634.86</v>
      </c>
      <c r="N192" s="301">
        <v>777.54</v>
      </c>
      <c r="O192" s="301">
        <v>819.91</v>
      </c>
      <c r="P192" s="301">
        <v>746.93</v>
      </c>
      <c r="Q192" s="301">
        <v>831.59</v>
      </c>
      <c r="R192" s="301">
        <v>913.01</v>
      </c>
      <c r="S192" s="301">
        <v>943.22</v>
      </c>
      <c r="T192" s="301">
        <v>890.82</v>
      </c>
      <c r="U192" s="301">
        <v>924.83</v>
      </c>
      <c r="V192" s="301">
        <v>824.24</v>
      </c>
      <c r="W192" s="301">
        <v>926.24</v>
      </c>
      <c r="X192" s="301">
        <v>1279.29</v>
      </c>
      <c r="Y192" s="301">
        <f>AE192</f>
        <v>1069.3743226840911</v>
      </c>
      <c r="Z192" s="301"/>
      <c r="AB192" s="301">
        <v>370.60351558580209</v>
      </c>
      <c r="AC192" s="301">
        <v>581.39722611210095</v>
      </c>
      <c r="AD192" s="301">
        <v>796.27748820160889</v>
      </c>
      <c r="AE192" s="301">
        <v>1069.3743226840911</v>
      </c>
      <c r="AF192" s="301">
        <v>319.92777722619991</v>
      </c>
      <c r="AG192" s="244"/>
      <c r="AH192" s="244"/>
      <c r="AI192" s="244"/>
      <c r="AK192" s="301">
        <f t="shared" ref="AK192:AK205" si="138">AB192</f>
        <v>370.60351558580209</v>
      </c>
      <c r="AL192" s="301">
        <f t="shared" ref="AL192:AL213" si="139">AC192-AB192</f>
        <v>210.79371052629887</v>
      </c>
      <c r="AM192" s="301">
        <f t="shared" ref="AM192:AM213" si="140">AD192-AC192</f>
        <v>214.88026208950794</v>
      </c>
      <c r="AN192" s="301">
        <f t="shared" ref="AN192:AN213" si="141">AE192-AD192</f>
        <v>273.09683448248222</v>
      </c>
      <c r="AO192" s="301">
        <f t="shared" ref="AO192:AO205" si="142">AF192</f>
        <v>319.92777722619991</v>
      </c>
      <c r="AP192" s="244"/>
      <c r="AQ192" s="244"/>
      <c r="AR192" s="244"/>
    </row>
    <row r="193" spans="2:44" ht="15" customHeight="1" outlineLevel="1" x14ac:dyDescent="0.25">
      <c r="B193" s="148" t="s">
        <v>50</v>
      </c>
      <c r="C193" s="148"/>
      <c r="D193" s="148"/>
      <c r="E193" s="148"/>
      <c r="F193" s="148"/>
      <c r="G193" s="148"/>
      <c r="H193" s="148"/>
      <c r="I193" s="148"/>
      <c r="J193" s="148"/>
      <c r="K193" s="148"/>
      <c r="L193" s="309">
        <v>342.86581545999996</v>
      </c>
      <c r="M193" s="309">
        <v>370.25521743999997</v>
      </c>
      <c r="N193" s="309">
        <v>445.01903479000003</v>
      </c>
      <c r="O193" s="309">
        <v>465.68517137000003</v>
      </c>
      <c r="P193" s="309">
        <v>345.49299132381179</v>
      </c>
      <c r="Q193" s="309">
        <v>366.97807925000001</v>
      </c>
      <c r="R193" s="309">
        <v>348.60712365999996</v>
      </c>
      <c r="S193" s="309">
        <v>415.77604656999995</v>
      </c>
      <c r="T193" s="309">
        <v>371.51157375000003</v>
      </c>
      <c r="U193" s="309">
        <v>376.19195355000005</v>
      </c>
      <c r="V193" s="309">
        <v>345.84492709389997</v>
      </c>
      <c r="W193" s="309">
        <v>465.74</v>
      </c>
      <c r="X193" s="309">
        <v>514.89</v>
      </c>
      <c r="Y193" s="309">
        <f>AE193</f>
        <v>411.79318231340056</v>
      </c>
      <c r="Z193" s="309"/>
      <c r="AB193" s="309">
        <v>157.88488010169999</v>
      </c>
      <c r="AC193" s="309">
        <v>227.20115414399925</v>
      </c>
      <c r="AD193" s="309">
        <v>296.45074103759958</v>
      </c>
      <c r="AE193" s="309">
        <v>411.79318231340056</v>
      </c>
      <c r="AF193" s="309">
        <v>104.83883838000001</v>
      </c>
      <c r="AG193" s="237"/>
      <c r="AH193" s="237"/>
      <c r="AI193" s="237"/>
      <c r="AK193" s="309">
        <f t="shared" si="138"/>
        <v>157.88488010169999</v>
      </c>
      <c r="AL193" s="309">
        <f t="shared" si="139"/>
        <v>69.316274042299256</v>
      </c>
      <c r="AM193" s="309">
        <f t="shared" si="140"/>
        <v>69.249586893600338</v>
      </c>
      <c r="AN193" s="309">
        <f t="shared" si="141"/>
        <v>115.34244127580098</v>
      </c>
      <c r="AO193" s="309">
        <f t="shared" si="142"/>
        <v>104.83883838000001</v>
      </c>
      <c r="AP193" s="309"/>
      <c r="AQ193" s="309"/>
      <c r="AR193" s="309"/>
    </row>
    <row r="194" spans="2:44" ht="15" customHeight="1" outlineLevel="1" x14ac:dyDescent="0.25">
      <c r="B194" s="148" t="s">
        <v>51</v>
      </c>
      <c r="C194" s="148"/>
      <c r="D194" s="148"/>
      <c r="E194" s="148"/>
      <c r="F194" s="148"/>
      <c r="G194" s="148"/>
      <c r="H194" s="148"/>
      <c r="I194" s="148"/>
      <c r="J194" s="148"/>
      <c r="K194" s="148"/>
      <c r="L194" s="309">
        <v>140.25</v>
      </c>
      <c r="M194" s="309">
        <v>138.58000000000001</v>
      </c>
      <c r="N194" s="309">
        <v>149.33000000000001</v>
      </c>
      <c r="O194" s="309">
        <v>160.49</v>
      </c>
      <c r="P194" s="309">
        <v>165.71</v>
      </c>
      <c r="Q194" s="309">
        <v>190.17</v>
      </c>
      <c r="R194" s="309">
        <v>267.72000000000003</v>
      </c>
      <c r="S194" s="309">
        <v>260.79000000000002</v>
      </c>
      <c r="T194" s="309">
        <v>271.64</v>
      </c>
      <c r="U194" s="309">
        <v>283.83</v>
      </c>
      <c r="V194" s="309">
        <v>229.36</v>
      </c>
      <c r="W194" s="309">
        <v>259.83</v>
      </c>
      <c r="X194" s="309">
        <v>259.45999999999998</v>
      </c>
      <c r="Y194" s="309">
        <f>AE194</f>
        <v>269.5925760001</v>
      </c>
      <c r="Z194" s="309"/>
      <c r="AB194" s="309">
        <v>74.172885128799976</v>
      </c>
      <c r="AC194" s="309">
        <v>133.79573758740003</v>
      </c>
      <c r="AD194" s="309">
        <v>197.61153001669993</v>
      </c>
      <c r="AE194" s="309">
        <v>269.5925760001</v>
      </c>
      <c r="AF194" s="309">
        <v>81.556510799999998</v>
      </c>
      <c r="AG194" s="237"/>
      <c r="AH194" s="237"/>
      <c r="AI194" s="237"/>
      <c r="AK194" s="309">
        <f t="shared" si="138"/>
        <v>74.172885128799976</v>
      </c>
      <c r="AL194" s="309">
        <f t="shared" si="139"/>
        <v>59.62285245860005</v>
      </c>
      <c r="AM194" s="309">
        <f t="shared" si="140"/>
        <v>63.815792429299904</v>
      </c>
      <c r="AN194" s="309">
        <f t="shared" si="141"/>
        <v>71.981045983400065</v>
      </c>
      <c r="AO194" s="309">
        <f t="shared" si="142"/>
        <v>81.556510799999998</v>
      </c>
      <c r="AP194" s="309"/>
      <c r="AQ194" s="309"/>
      <c r="AR194" s="309"/>
    </row>
    <row r="195" spans="2:44" ht="15" customHeight="1" outlineLevel="1" x14ac:dyDescent="0.25">
      <c r="B195" s="148" t="s">
        <v>52</v>
      </c>
      <c r="C195" s="148"/>
      <c r="D195" s="148"/>
      <c r="E195" s="148"/>
      <c r="F195" s="148"/>
      <c r="G195" s="148"/>
      <c r="H195" s="148"/>
      <c r="I195" s="148"/>
      <c r="J195" s="148"/>
      <c r="K195" s="148"/>
      <c r="L195" s="309">
        <v>78.459999999999994</v>
      </c>
      <c r="M195" s="309">
        <v>126.21</v>
      </c>
      <c r="N195" s="309">
        <v>182.99</v>
      </c>
      <c r="O195" s="309">
        <v>217.42</v>
      </c>
      <c r="P195" s="309">
        <v>233.76</v>
      </c>
      <c r="Q195" s="309">
        <v>272.02</v>
      </c>
      <c r="R195" s="309">
        <v>268.05</v>
      </c>
      <c r="S195" s="309">
        <v>288.76</v>
      </c>
      <c r="T195" s="309">
        <v>245.61</v>
      </c>
      <c r="U195" s="309">
        <v>266.93</v>
      </c>
      <c r="V195" s="309">
        <v>234.62997676462169</v>
      </c>
      <c r="W195" s="309">
        <v>403.21924547899999</v>
      </c>
      <c r="X195" s="309">
        <v>489.4</v>
      </c>
      <c r="Y195" s="309">
        <f>AE195</f>
        <v>419.56536212749995</v>
      </c>
      <c r="Z195" s="309"/>
      <c r="AB195" s="309">
        <v>143.05809546729981</v>
      </c>
      <c r="AC195" s="309">
        <v>215.65956993250168</v>
      </c>
      <c r="AD195" s="309">
        <v>336.2864596243009</v>
      </c>
      <c r="AE195" s="309">
        <v>419.56536212749995</v>
      </c>
      <c r="AF195" s="309">
        <v>130.71760998619999</v>
      </c>
      <c r="AG195" s="237"/>
      <c r="AH195" s="237"/>
      <c r="AI195" s="237"/>
      <c r="AK195" s="309">
        <f t="shared" si="138"/>
        <v>143.05809546729981</v>
      </c>
      <c r="AL195" s="309">
        <f t="shared" si="139"/>
        <v>72.601474465201875</v>
      </c>
      <c r="AM195" s="309">
        <f t="shared" si="140"/>
        <v>120.62688969179922</v>
      </c>
      <c r="AN195" s="309">
        <f t="shared" si="141"/>
        <v>83.278902503199049</v>
      </c>
      <c r="AO195" s="309">
        <f t="shared" si="142"/>
        <v>130.71760998619999</v>
      </c>
      <c r="AP195" s="309"/>
      <c r="AQ195" s="309"/>
      <c r="AR195" s="309"/>
    </row>
    <row r="196" spans="2:44" ht="15" customHeight="1" x14ac:dyDescent="0.25">
      <c r="B196" s="131" t="s">
        <v>66</v>
      </c>
      <c r="C196" s="131"/>
      <c r="D196" s="131"/>
      <c r="E196" s="131"/>
      <c r="F196" s="131"/>
      <c r="G196" s="131"/>
      <c r="H196" s="131"/>
      <c r="I196" s="131"/>
      <c r="J196" s="131"/>
      <c r="K196" s="131"/>
      <c r="L196" s="310">
        <v>26.88</v>
      </c>
      <c r="M196" s="310">
        <v>62.56</v>
      </c>
      <c r="N196" s="310">
        <v>46.54</v>
      </c>
      <c r="O196" s="310">
        <v>11.66</v>
      </c>
      <c r="P196" s="310">
        <v>26.55</v>
      </c>
      <c r="Q196" s="310">
        <v>140.19</v>
      </c>
      <c r="R196" s="310">
        <v>34.619999999999997</v>
      </c>
      <c r="S196" s="310">
        <v>65.86</v>
      </c>
      <c r="T196" s="310">
        <v>29.6</v>
      </c>
      <c r="U196" s="310">
        <v>246.43</v>
      </c>
      <c r="V196" s="310">
        <v>286.79000000000002</v>
      </c>
      <c r="W196" s="310">
        <v>350.07</v>
      </c>
      <c r="X196" s="310">
        <v>308.31</v>
      </c>
      <c r="Y196" s="310">
        <f>AE196</f>
        <v>458.91330626399986</v>
      </c>
      <c r="Z196" s="310"/>
      <c r="AA196" s="253"/>
      <c r="AB196" s="310">
        <v>7.6590802310999813</v>
      </c>
      <c r="AC196" s="310">
        <v>21.868269264799999</v>
      </c>
      <c r="AD196" s="310">
        <v>462.2795227767005</v>
      </c>
      <c r="AE196" s="310">
        <v>458.91330626399986</v>
      </c>
      <c r="AF196" s="310">
        <v>9.4047215775000073</v>
      </c>
      <c r="AG196" s="237"/>
      <c r="AH196" s="237"/>
      <c r="AI196" s="237"/>
      <c r="AK196" s="310">
        <f t="shared" si="138"/>
        <v>7.6590802310999813</v>
      </c>
      <c r="AL196" s="310">
        <f t="shared" si="139"/>
        <v>14.209189033700017</v>
      </c>
      <c r="AM196" s="310">
        <f t="shared" si="140"/>
        <v>440.4112535119005</v>
      </c>
      <c r="AN196" s="310">
        <f t="shared" si="141"/>
        <v>-3.366216512700646</v>
      </c>
      <c r="AO196" s="310">
        <f t="shared" si="142"/>
        <v>9.4047215775000073</v>
      </c>
      <c r="AP196" s="310"/>
      <c r="AQ196" s="310"/>
      <c r="AR196" s="310"/>
    </row>
    <row r="197" spans="2:44" ht="15" customHeight="1" x14ac:dyDescent="0.25">
      <c r="B197" s="131" t="s">
        <v>67</v>
      </c>
      <c r="C197" s="131"/>
      <c r="D197" s="131"/>
      <c r="E197" s="131"/>
      <c r="F197" s="131"/>
      <c r="G197" s="131"/>
      <c r="H197" s="131"/>
      <c r="I197" s="131"/>
      <c r="J197" s="131"/>
      <c r="K197" s="131"/>
      <c r="L197" s="310">
        <v>127.45</v>
      </c>
      <c r="M197" s="310">
        <v>158.13999999999999</v>
      </c>
      <c r="N197" s="310">
        <v>190.64</v>
      </c>
      <c r="O197" s="310">
        <v>241.31</v>
      </c>
      <c r="P197" s="310">
        <v>229.01</v>
      </c>
      <c r="Q197" s="310">
        <v>281.63</v>
      </c>
      <c r="R197" s="310">
        <v>281.14999999999998</v>
      </c>
      <c r="S197" s="310">
        <v>280.48</v>
      </c>
      <c r="T197" s="310">
        <v>267.63</v>
      </c>
      <c r="U197" s="310">
        <v>257.69</v>
      </c>
      <c r="V197" s="310">
        <v>258.74</v>
      </c>
      <c r="W197" s="310">
        <v>335.35</v>
      </c>
      <c r="X197" s="310">
        <v>388.61</v>
      </c>
      <c r="Y197" s="310">
        <f>(AE197)</f>
        <v>437.1737235242997</v>
      </c>
      <c r="Z197" s="310"/>
      <c r="AA197" s="310"/>
      <c r="AB197" s="310">
        <v>127.44547991320007</v>
      </c>
      <c r="AC197" s="310">
        <v>221.95241599020039</v>
      </c>
      <c r="AD197" s="310">
        <v>312.03236814220094</v>
      </c>
      <c r="AE197" s="310">
        <v>437.1737235242997</v>
      </c>
      <c r="AF197" s="310">
        <v>101.29638107099996</v>
      </c>
      <c r="AG197" s="237"/>
      <c r="AH197" s="237"/>
      <c r="AI197" s="237"/>
      <c r="AK197" s="310">
        <f t="shared" si="138"/>
        <v>127.44547991320007</v>
      </c>
      <c r="AL197" s="310">
        <f t="shared" si="139"/>
        <v>94.506936077000319</v>
      </c>
      <c r="AM197" s="310">
        <f t="shared" si="140"/>
        <v>90.079952152000544</v>
      </c>
      <c r="AN197" s="310">
        <f t="shared" si="141"/>
        <v>125.14135538209877</v>
      </c>
      <c r="AO197" s="310">
        <f t="shared" si="142"/>
        <v>101.29638107099996</v>
      </c>
      <c r="AP197" s="310"/>
      <c r="AQ197" s="310"/>
      <c r="AR197" s="310"/>
    </row>
    <row r="198" spans="2:44" ht="15" customHeight="1" x14ac:dyDescent="0.25">
      <c r="B198" s="134" t="s">
        <v>68</v>
      </c>
      <c r="C198" s="134"/>
      <c r="D198" s="134"/>
      <c r="E198" s="134"/>
      <c r="F198" s="134"/>
      <c r="G198" s="134"/>
      <c r="H198" s="134"/>
      <c r="I198" s="134"/>
      <c r="J198" s="134"/>
      <c r="K198" s="134"/>
      <c r="L198" s="310">
        <v>87.41</v>
      </c>
      <c r="M198" s="310">
        <v>106.65</v>
      </c>
      <c r="N198" s="310">
        <v>125.1</v>
      </c>
      <c r="O198" s="310">
        <v>138.09</v>
      </c>
      <c r="P198" s="310">
        <v>141.38</v>
      </c>
      <c r="Q198" s="310">
        <v>150.84</v>
      </c>
      <c r="R198" s="310">
        <v>161.97999999999999</v>
      </c>
      <c r="S198" s="310">
        <v>166.52</v>
      </c>
      <c r="T198" s="310">
        <v>174.13</v>
      </c>
      <c r="U198" s="310">
        <v>157.75</v>
      </c>
      <c r="V198" s="310">
        <v>158.13</v>
      </c>
      <c r="W198" s="310">
        <v>188.9</v>
      </c>
      <c r="X198" s="310">
        <v>204.83</v>
      </c>
      <c r="Y198" s="310">
        <f>(AE198)</f>
        <v>229.50132569399975</v>
      </c>
      <c r="Z198" s="310"/>
      <c r="AA198" s="310"/>
      <c r="AB198" s="310">
        <v>56.199405602499979</v>
      </c>
      <c r="AC198" s="310">
        <v>111.55202954610056</v>
      </c>
      <c r="AD198" s="310">
        <v>165.35299971060056</v>
      </c>
      <c r="AE198" s="310">
        <v>229.50132569399975</v>
      </c>
      <c r="AF198" s="310">
        <v>58.484340674399988</v>
      </c>
      <c r="AG198" s="237"/>
      <c r="AH198" s="237"/>
      <c r="AI198" s="237"/>
      <c r="AK198" s="310">
        <f t="shared" si="138"/>
        <v>56.199405602499979</v>
      </c>
      <c r="AL198" s="310">
        <f t="shared" si="139"/>
        <v>55.352623943600577</v>
      </c>
      <c r="AM198" s="310">
        <f t="shared" si="140"/>
        <v>53.800970164500001</v>
      </c>
      <c r="AN198" s="310">
        <f t="shared" si="141"/>
        <v>64.148325983399189</v>
      </c>
      <c r="AO198" s="310">
        <f t="shared" si="142"/>
        <v>58.484340674399988</v>
      </c>
      <c r="AP198" s="310"/>
      <c r="AQ198" s="310"/>
      <c r="AR198" s="310"/>
    </row>
    <row r="199" spans="2:44" ht="15" customHeight="1" x14ac:dyDescent="0.25">
      <c r="B199" s="132" t="s">
        <v>69</v>
      </c>
      <c r="C199" s="132"/>
      <c r="D199" s="132"/>
      <c r="E199" s="132"/>
      <c r="F199" s="132"/>
      <c r="G199" s="132"/>
      <c r="H199" s="132"/>
      <c r="I199" s="132"/>
      <c r="J199" s="132"/>
      <c r="K199" s="132"/>
      <c r="L199" s="310">
        <v>20.13</v>
      </c>
      <c r="M199" s="310">
        <v>22.84</v>
      </c>
      <c r="N199" s="310">
        <v>24.54</v>
      </c>
      <c r="O199" s="310">
        <v>25.54</v>
      </c>
      <c r="P199" s="310">
        <v>22.38</v>
      </c>
      <c r="Q199" s="310">
        <v>26.72</v>
      </c>
      <c r="R199" s="310">
        <v>30.34</v>
      </c>
      <c r="S199" s="310">
        <v>29.79</v>
      </c>
      <c r="T199" s="310">
        <v>28.56</v>
      </c>
      <c r="U199" s="310">
        <v>29.02</v>
      </c>
      <c r="V199" s="310">
        <v>32.200000000000003</v>
      </c>
      <c r="W199" s="310">
        <v>45.3</v>
      </c>
      <c r="X199" s="310">
        <v>54.09</v>
      </c>
      <c r="Y199" s="310">
        <f>(AE199)</f>
        <v>65.265998722100008</v>
      </c>
      <c r="Z199" s="310"/>
      <c r="AA199" s="310"/>
      <c r="AB199" s="310">
        <v>14.757973030400015</v>
      </c>
      <c r="AC199" s="310">
        <v>33.607075639299971</v>
      </c>
      <c r="AD199" s="310">
        <v>49.893316950299962</v>
      </c>
      <c r="AE199" s="310">
        <v>65.265998722100008</v>
      </c>
      <c r="AF199" s="310">
        <v>17.630093602200002</v>
      </c>
      <c r="AG199" s="237"/>
      <c r="AH199" s="237"/>
      <c r="AI199" s="237"/>
      <c r="AK199" s="310">
        <f t="shared" si="138"/>
        <v>14.757973030400015</v>
      </c>
      <c r="AL199" s="310">
        <f t="shared" si="139"/>
        <v>18.849102608899955</v>
      </c>
      <c r="AM199" s="310">
        <f t="shared" si="140"/>
        <v>16.286241310999991</v>
      </c>
      <c r="AN199" s="310">
        <f t="shared" si="141"/>
        <v>15.372681771800046</v>
      </c>
      <c r="AO199" s="310">
        <f t="shared" si="142"/>
        <v>17.630093602200002</v>
      </c>
      <c r="AP199" s="310"/>
      <c r="AQ199" s="310"/>
      <c r="AR199" s="310"/>
    </row>
    <row r="200" spans="2:44" ht="15" customHeight="1" x14ac:dyDescent="0.25">
      <c r="B200" s="132" t="s">
        <v>70</v>
      </c>
      <c r="C200" s="132"/>
      <c r="D200" s="132"/>
      <c r="E200" s="132"/>
      <c r="F200" s="132"/>
      <c r="G200" s="132"/>
      <c r="H200" s="132"/>
      <c r="I200" s="132"/>
      <c r="J200" s="132"/>
      <c r="K200" s="132"/>
      <c r="L200" s="310">
        <v>19.91</v>
      </c>
      <c r="M200" s="310">
        <v>28.65</v>
      </c>
      <c r="N200" s="310">
        <v>41</v>
      </c>
      <c r="O200" s="310">
        <v>77.69</v>
      </c>
      <c r="P200" s="310">
        <v>65.25</v>
      </c>
      <c r="Q200" s="310">
        <v>104.06</v>
      </c>
      <c r="R200" s="310">
        <v>88.83</v>
      </c>
      <c r="S200" s="310">
        <v>84.17</v>
      </c>
      <c r="T200" s="310">
        <v>64.94</v>
      </c>
      <c r="U200" s="310">
        <v>70.92</v>
      </c>
      <c r="V200" s="310">
        <v>68.400000000000006</v>
      </c>
      <c r="W200" s="310">
        <v>101.15</v>
      </c>
      <c r="X200" s="310">
        <v>129.69</v>
      </c>
      <c r="Y200" s="310">
        <f>(AE200)</f>
        <v>142.40639910819996</v>
      </c>
      <c r="Z200" s="310"/>
      <c r="AA200" s="310"/>
      <c r="AB200" s="310">
        <v>56.488101280300079</v>
      </c>
      <c r="AC200" s="310">
        <v>76.793310804799873</v>
      </c>
      <c r="AD200" s="310">
        <v>96.786051481300447</v>
      </c>
      <c r="AE200" s="310">
        <v>142.40639910819996</v>
      </c>
      <c r="AF200" s="310">
        <v>25.181946794399963</v>
      </c>
      <c r="AG200" s="237"/>
      <c r="AH200" s="237"/>
      <c r="AI200" s="237"/>
      <c r="AK200" s="310">
        <f t="shared" si="138"/>
        <v>56.488101280300079</v>
      </c>
      <c r="AL200" s="310">
        <f t="shared" si="139"/>
        <v>20.305209524499794</v>
      </c>
      <c r="AM200" s="310">
        <f t="shared" si="140"/>
        <v>19.992740676500574</v>
      </c>
      <c r="AN200" s="310">
        <f t="shared" si="141"/>
        <v>45.620347626899516</v>
      </c>
      <c r="AO200" s="310">
        <f t="shared" si="142"/>
        <v>25.181946794399963</v>
      </c>
      <c r="AP200" s="310"/>
      <c r="AQ200" s="310"/>
      <c r="AR200" s="310"/>
    </row>
    <row r="201" spans="2:44" ht="15" customHeight="1" x14ac:dyDescent="0.25">
      <c r="B201" s="131" t="s">
        <v>71</v>
      </c>
      <c r="C201" s="131"/>
      <c r="D201" s="131"/>
      <c r="E201" s="131"/>
      <c r="F201" s="131"/>
      <c r="G201" s="131"/>
      <c r="H201" s="131"/>
      <c r="I201" s="131"/>
      <c r="J201" s="131"/>
      <c r="K201" s="131"/>
      <c r="L201" s="310">
        <v>0</v>
      </c>
      <c r="M201" s="310">
        <v>0</v>
      </c>
      <c r="N201" s="310">
        <v>0</v>
      </c>
      <c r="O201" s="310">
        <v>0</v>
      </c>
      <c r="P201" s="310">
        <v>0</v>
      </c>
      <c r="Q201" s="310">
        <v>0</v>
      </c>
      <c r="R201" s="310">
        <v>0</v>
      </c>
      <c r="S201" s="310">
        <v>0</v>
      </c>
      <c r="T201" s="310">
        <v>0</v>
      </c>
      <c r="U201" s="310">
        <v>0</v>
      </c>
      <c r="V201" s="310">
        <v>4.18</v>
      </c>
      <c r="W201" s="310">
        <v>8.82</v>
      </c>
      <c r="X201" s="310">
        <v>49.28</v>
      </c>
      <c r="Y201" s="310">
        <f t="shared" ref="Y201:Y206" si="143">AE201</f>
        <v>-4.5026365630993839</v>
      </c>
      <c r="Z201" s="310"/>
      <c r="AB201" s="310">
        <v>4.1694363485999997</v>
      </c>
      <c r="AC201" s="310">
        <v>-6.4518735898999724</v>
      </c>
      <c r="AD201" s="310">
        <v>-4.9495447119995655</v>
      </c>
      <c r="AE201" s="310">
        <v>-4.5026365630993839</v>
      </c>
      <c r="AF201" s="310">
        <v>-0.30028219999999911</v>
      </c>
      <c r="AG201" s="237"/>
      <c r="AH201" s="237"/>
      <c r="AI201" s="237"/>
      <c r="AK201" s="310">
        <f t="shared" si="138"/>
        <v>4.1694363485999997</v>
      </c>
      <c r="AL201" s="310">
        <f t="shared" si="139"/>
        <v>-10.621309938499973</v>
      </c>
      <c r="AM201" s="310">
        <f t="shared" si="140"/>
        <v>1.5023288779004069</v>
      </c>
      <c r="AN201" s="310">
        <f t="shared" si="141"/>
        <v>0.4469081489001816</v>
      </c>
      <c r="AO201" s="310">
        <f t="shared" si="142"/>
        <v>-0.30028219999999911</v>
      </c>
      <c r="AP201" s="310"/>
      <c r="AQ201" s="310"/>
      <c r="AR201" s="310"/>
    </row>
    <row r="202" spans="2:44" ht="15" customHeight="1" x14ac:dyDescent="0.25">
      <c r="B202" s="40" t="s">
        <v>72</v>
      </c>
      <c r="C202" s="40"/>
      <c r="D202" s="40"/>
      <c r="E202" s="40"/>
      <c r="F202" s="40"/>
      <c r="G202" s="40"/>
      <c r="H202" s="40"/>
      <c r="I202" s="40"/>
      <c r="J202" s="40"/>
      <c r="K202" s="40"/>
      <c r="L202" s="301">
        <v>461.67</v>
      </c>
      <c r="M202" s="301">
        <v>539.28</v>
      </c>
      <c r="N202" s="301">
        <v>633.44000000000005</v>
      </c>
      <c r="O202" s="301">
        <v>590.25</v>
      </c>
      <c r="P202" s="301">
        <v>544.48</v>
      </c>
      <c r="Q202" s="301">
        <v>690.16</v>
      </c>
      <c r="R202" s="301">
        <v>666.47</v>
      </c>
      <c r="S202" s="301">
        <v>728.59</v>
      </c>
      <c r="T202" s="301">
        <v>652.79</v>
      </c>
      <c r="U202" s="301">
        <v>913.57</v>
      </c>
      <c r="V202" s="301">
        <v>856.47</v>
      </c>
      <c r="W202" s="301">
        <v>949.78</v>
      </c>
      <c r="X202" s="301">
        <v>1248.27</v>
      </c>
      <c r="Y202" s="301">
        <f t="shared" si="143"/>
        <v>1086.6112688606925</v>
      </c>
      <c r="Z202" s="301"/>
      <c r="AB202" s="301">
        <v>254.98655225230155</v>
      </c>
      <c r="AC202" s="301">
        <v>374.86120579680693</v>
      </c>
      <c r="AD202" s="301">
        <v>941.57509812411365</v>
      </c>
      <c r="AE202" s="301">
        <v>1086.6112688606925</v>
      </c>
      <c r="AF202" s="301">
        <v>227.73583553269992</v>
      </c>
      <c r="AG202" s="244"/>
      <c r="AH202" s="244"/>
      <c r="AI202" s="244"/>
      <c r="AK202" s="301">
        <f t="shared" si="138"/>
        <v>254.98655225230155</v>
      </c>
      <c r="AL202" s="301">
        <f t="shared" si="139"/>
        <v>119.87465354450538</v>
      </c>
      <c r="AM202" s="301">
        <f t="shared" si="140"/>
        <v>566.71389232730667</v>
      </c>
      <c r="AN202" s="301">
        <f t="shared" si="141"/>
        <v>145.03617073657881</v>
      </c>
      <c r="AO202" s="301">
        <f t="shared" si="142"/>
        <v>227.73583553269992</v>
      </c>
      <c r="AP202" s="301"/>
      <c r="AQ202" s="301"/>
      <c r="AR202" s="301"/>
    </row>
    <row r="203" spans="2:44" ht="15" customHeight="1" outlineLevel="1" x14ac:dyDescent="0.25">
      <c r="B203" s="148" t="s">
        <v>50</v>
      </c>
      <c r="C203" s="148"/>
      <c r="D203" s="148"/>
      <c r="E203" s="148"/>
      <c r="F203" s="148"/>
      <c r="G203" s="148"/>
      <c r="H203" s="148"/>
      <c r="I203" s="148"/>
      <c r="J203" s="148"/>
      <c r="K203" s="148"/>
      <c r="L203" s="309">
        <v>273.90795545999993</v>
      </c>
      <c r="M203" s="309">
        <v>285.84673424999994</v>
      </c>
      <c r="N203" s="309">
        <v>346.52440791000004</v>
      </c>
      <c r="O203" s="309">
        <v>320.49257605999998</v>
      </c>
      <c r="P203" s="309">
        <v>227.36607737381163</v>
      </c>
      <c r="Q203" s="309">
        <v>240.94268574000003</v>
      </c>
      <c r="R203" s="309">
        <v>252.31527471999991</v>
      </c>
      <c r="S203" s="309">
        <v>275.50895072999998</v>
      </c>
      <c r="T203" s="309">
        <v>266.16000000000003</v>
      </c>
      <c r="U203" s="309">
        <v>357.53678547426875</v>
      </c>
      <c r="V203" s="309">
        <v>356.79895221698791</v>
      </c>
      <c r="W203" s="309">
        <v>241.88878328799998</v>
      </c>
      <c r="X203" s="309">
        <v>462.16</v>
      </c>
      <c r="Y203" s="309">
        <f t="shared" si="143"/>
        <v>279.84909776709895</v>
      </c>
      <c r="Z203" s="309"/>
      <c r="AA203" s="333"/>
      <c r="AB203" s="309">
        <v>117.48599644600006</v>
      </c>
      <c r="AC203" s="309">
        <v>146.04488663369949</v>
      </c>
      <c r="AD203" s="309">
        <v>189.42179919620219</v>
      </c>
      <c r="AE203" s="309">
        <v>279.84909776709895</v>
      </c>
      <c r="AF203" s="309">
        <v>72.154996890000007</v>
      </c>
      <c r="AG203" s="237"/>
      <c r="AH203" s="237"/>
      <c r="AI203" s="237"/>
      <c r="AK203" s="309">
        <f t="shared" si="138"/>
        <v>117.48599644600006</v>
      </c>
      <c r="AL203" s="309">
        <f t="shared" si="139"/>
        <v>28.558890187699433</v>
      </c>
      <c r="AM203" s="309">
        <f t="shared" si="140"/>
        <v>43.376912562502696</v>
      </c>
      <c r="AN203" s="309">
        <f t="shared" si="141"/>
        <v>90.427298570896767</v>
      </c>
      <c r="AO203" s="309">
        <f t="shared" si="142"/>
        <v>72.154996890000007</v>
      </c>
      <c r="AP203" s="309"/>
      <c r="AQ203" s="309"/>
      <c r="AR203" s="309"/>
    </row>
    <row r="204" spans="2:44" ht="15" customHeight="1" outlineLevel="1" x14ac:dyDescent="0.25">
      <c r="B204" s="148" t="s">
        <v>51</v>
      </c>
      <c r="C204" s="148"/>
      <c r="D204" s="148"/>
      <c r="E204" s="148"/>
      <c r="F204" s="148"/>
      <c r="G204" s="148"/>
      <c r="H204" s="148"/>
      <c r="I204" s="148"/>
      <c r="J204" s="148"/>
      <c r="K204" s="148"/>
      <c r="L204" s="309">
        <v>115.68</v>
      </c>
      <c r="M204" s="309">
        <v>110.75</v>
      </c>
      <c r="N204" s="309">
        <v>118.67</v>
      </c>
      <c r="O204" s="309">
        <v>129.44</v>
      </c>
      <c r="P204" s="309">
        <v>134.35</v>
      </c>
      <c r="Q204" s="309">
        <v>277.8</v>
      </c>
      <c r="R204" s="309">
        <v>223.2</v>
      </c>
      <c r="S204" s="309">
        <v>211.87</v>
      </c>
      <c r="T204" s="309">
        <v>223.08</v>
      </c>
      <c r="U204" s="309">
        <v>382.15</v>
      </c>
      <c r="V204" s="309">
        <v>179.34</v>
      </c>
      <c r="W204" s="309">
        <v>504.88</v>
      </c>
      <c r="X204" s="309">
        <v>204.44</v>
      </c>
      <c r="Y204" s="309">
        <f t="shared" si="143"/>
        <v>206.17004090139991</v>
      </c>
      <c r="Z204" s="309"/>
      <c r="AB204" s="309">
        <v>57.41983670230001</v>
      </c>
      <c r="AC204" s="309">
        <v>102.79258163600046</v>
      </c>
      <c r="AD204" s="309">
        <v>152.71481235999923</v>
      </c>
      <c r="AE204" s="309">
        <v>206.17004090139991</v>
      </c>
      <c r="AF204" s="309">
        <v>64.54706996000003</v>
      </c>
      <c r="AG204" s="237"/>
      <c r="AH204" s="237"/>
      <c r="AI204" s="237"/>
      <c r="AK204" s="309">
        <f t="shared" si="138"/>
        <v>57.41983670230001</v>
      </c>
      <c r="AL204" s="309">
        <f t="shared" si="139"/>
        <v>45.372744933700453</v>
      </c>
      <c r="AM204" s="309">
        <f t="shared" si="140"/>
        <v>49.922230723998766</v>
      </c>
      <c r="AN204" s="309">
        <f t="shared" si="141"/>
        <v>53.455228541400686</v>
      </c>
      <c r="AO204" s="309">
        <f t="shared" si="142"/>
        <v>64.54706996000003</v>
      </c>
      <c r="AP204" s="309"/>
      <c r="AQ204" s="309"/>
      <c r="AR204" s="309"/>
    </row>
    <row r="205" spans="2:44" ht="15" customHeight="1" outlineLevel="1" x14ac:dyDescent="0.25">
      <c r="B205" s="148" t="s">
        <v>52</v>
      </c>
      <c r="C205" s="148"/>
      <c r="D205" s="148"/>
      <c r="E205" s="148"/>
      <c r="F205" s="148"/>
      <c r="G205" s="148"/>
      <c r="H205" s="148"/>
      <c r="I205" s="148"/>
      <c r="J205" s="148"/>
      <c r="K205" s="148"/>
      <c r="L205" s="309">
        <v>71.37</v>
      </c>
      <c r="M205" s="309">
        <v>94.11</v>
      </c>
      <c r="N205" s="309">
        <v>172.08</v>
      </c>
      <c r="O205" s="309">
        <v>160.9</v>
      </c>
      <c r="P205" s="309">
        <v>168.79</v>
      </c>
      <c r="Q205" s="309">
        <v>179.03</v>
      </c>
      <c r="R205" s="309">
        <v>194.39</v>
      </c>
      <c r="S205" s="309">
        <v>238.48</v>
      </c>
      <c r="T205" s="309">
        <v>168.63</v>
      </c>
      <c r="U205" s="309">
        <v>221.33</v>
      </c>
      <c r="V205" s="309">
        <v>163.5077935450002</v>
      </c>
      <c r="W205" s="309">
        <v>288.75111026699989</v>
      </c>
      <c r="X205" s="309">
        <v>543.16</v>
      </c>
      <c r="Y205" s="309">
        <f t="shared" si="143"/>
        <v>461.04450565660596</v>
      </c>
      <c r="Z205" s="309"/>
      <c r="AB205" s="309">
        <v>87.624252579199535</v>
      </c>
      <c r="AC205" s="309">
        <v>120.05892208310166</v>
      </c>
      <c r="AD205" s="309">
        <v>455.77558455000491</v>
      </c>
      <c r="AE205" s="309">
        <v>461.04450565660596</v>
      </c>
      <c r="AF205" s="309">
        <v>89.348588552699979</v>
      </c>
      <c r="AG205" s="237"/>
      <c r="AH205" s="237"/>
      <c r="AI205" s="237"/>
      <c r="AK205" s="309">
        <f t="shared" si="138"/>
        <v>87.624252579199535</v>
      </c>
      <c r="AL205" s="309">
        <f t="shared" si="139"/>
        <v>32.434669503902128</v>
      </c>
      <c r="AM205" s="309">
        <f t="shared" si="140"/>
        <v>335.71666246690324</v>
      </c>
      <c r="AN205" s="309">
        <f t="shared" si="141"/>
        <v>5.2689211066010557</v>
      </c>
      <c r="AO205" s="309">
        <f t="shared" si="142"/>
        <v>89.348588552699979</v>
      </c>
      <c r="AP205" s="309"/>
      <c r="AQ205" s="309"/>
      <c r="AR205" s="309"/>
    </row>
    <row r="206" spans="2:44" ht="15" customHeight="1" x14ac:dyDescent="0.25">
      <c r="B206" s="133" t="s">
        <v>73</v>
      </c>
      <c r="C206" s="133"/>
      <c r="D206" s="133"/>
      <c r="E206" s="133"/>
      <c r="F206" s="133"/>
      <c r="G206" s="133"/>
      <c r="H206" s="133"/>
      <c r="I206" s="133"/>
      <c r="J206" s="133"/>
      <c r="K206" s="133"/>
      <c r="L206" s="330">
        <v>0.82</v>
      </c>
      <c r="M206" s="330">
        <v>0.85</v>
      </c>
      <c r="N206" s="330">
        <v>0.81</v>
      </c>
      <c r="O206" s="330">
        <v>0.72</v>
      </c>
      <c r="P206" s="330">
        <v>0.73</v>
      </c>
      <c r="Q206" s="330">
        <v>0.83</v>
      </c>
      <c r="R206" s="330">
        <v>0.73</v>
      </c>
      <c r="S206" s="330">
        <v>0.77</v>
      </c>
      <c r="T206" s="330">
        <v>0.73</v>
      </c>
      <c r="U206" s="330">
        <v>0.99</v>
      </c>
      <c r="V206" s="330">
        <v>1.04</v>
      </c>
      <c r="W206" s="330">
        <v>1.03</v>
      </c>
      <c r="X206" s="330">
        <v>0.98</v>
      </c>
      <c r="Y206" s="330">
        <f t="shared" si="143"/>
        <v>1.0161187208360654</v>
      </c>
      <c r="Z206" s="330"/>
      <c r="AB206" s="330">
        <v>0.6880305812783557</v>
      </c>
      <c r="AC206" s="330">
        <v>0.64475919209929089</v>
      </c>
      <c r="AD206" s="330">
        <v>1.1824710758188821</v>
      </c>
      <c r="AE206" s="330">
        <v>1.0161187208360654</v>
      </c>
      <c r="AF206" s="330">
        <v>0.71183514450413876</v>
      </c>
      <c r="AG206" s="330"/>
      <c r="AH206" s="330"/>
      <c r="AI206" s="330"/>
      <c r="AK206" s="330"/>
      <c r="AL206" s="330">
        <f t="shared" si="139"/>
        <v>-4.3271389179064812E-2</v>
      </c>
      <c r="AM206" s="330">
        <f t="shared" si="140"/>
        <v>0.53771188371959122</v>
      </c>
      <c r="AN206" s="330">
        <f t="shared" si="141"/>
        <v>-0.16635235498281675</v>
      </c>
      <c r="AO206" s="330"/>
      <c r="AP206" s="330"/>
      <c r="AQ206" s="330"/>
      <c r="AR206" s="330"/>
    </row>
    <row r="207" spans="2:44" ht="15" customHeight="1" x14ac:dyDescent="0.25">
      <c r="B207" s="130" t="s">
        <v>74</v>
      </c>
      <c r="C207" s="130"/>
      <c r="D207" s="130"/>
      <c r="E207" s="130"/>
      <c r="F207" s="130"/>
      <c r="G207" s="130"/>
      <c r="H207" s="130"/>
      <c r="I207" s="130"/>
      <c r="J207" s="130"/>
      <c r="K207" s="130"/>
      <c r="L207" s="310">
        <v>-0.16</v>
      </c>
      <c r="M207" s="310">
        <v>-0.27</v>
      </c>
      <c r="N207" s="310">
        <v>0</v>
      </c>
      <c r="O207" s="310">
        <v>0.1</v>
      </c>
      <c r="P207" s="310">
        <v>0.02</v>
      </c>
      <c r="Q207" s="310">
        <v>0.02</v>
      </c>
      <c r="R207" s="310">
        <v>4.8</v>
      </c>
      <c r="S207" s="310">
        <v>0.18</v>
      </c>
      <c r="T207" s="310">
        <v>0.62</v>
      </c>
      <c r="U207" s="310">
        <v>1.23</v>
      </c>
      <c r="V207" s="310">
        <v>0.69</v>
      </c>
      <c r="W207" s="310">
        <v>0.8</v>
      </c>
      <c r="X207" s="310">
        <v>-5.53</v>
      </c>
      <c r="Y207" s="310">
        <f>(AE207)</f>
        <v>12.800364081200007</v>
      </c>
      <c r="Z207" s="310"/>
      <c r="AB207" s="310">
        <v>-0.56144081999999995</v>
      </c>
      <c r="AC207" s="310">
        <v>15.246136695200008</v>
      </c>
      <c r="AD207" s="310">
        <v>15.218843459500015</v>
      </c>
      <c r="AE207" s="310">
        <v>12.800364081200007</v>
      </c>
      <c r="AF207" s="310">
        <v>-1.0119990000000001E-2</v>
      </c>
      <c r="AG207" s="237"/>
      <c r="AH207" s="237"/>
      <c r="AI207" s="237"/>
      <c r="AK207" s="310">
        <f t="shared" ref="AK207:AK213" si="144">AB207</f>
        <v>-0.56144081999999995</v>
      </c>
      <c r="AL207" s="310">
        <f t="shared" si="139"/>
        <v>15.807577515200007</v>
      </c>
      <c r="AM207" s="310">
        <f t="shared" si="140"/>
        <v>-2.729323569999309E-2</v>
      </c>
      <c r="AN207" s="310">
        <f t="shared" si="141"/>
        <v>-2.4184793783000078</v>
      </c>
      <c r="AO207" s="310">
        <f t="shared" ref="AO207:AO213" si="145">AF207</f>
        <v>-1.0119990000000001E-2</v>
      </c>
      <c r="AP207" s="310"/>
      <c r="AQ207" s="310"/>
      <c r="AR207" s="310"/>
    </row>
    <row r="208" spans="2:44" ht="15" customHeight="1" x14ac:dyDescent="0.25">
      <c r="B208" s="130" t="s">
        <v>75</v>
      </c>
      <c r="C208" s="130"/>
      <c r="D208" s="130"/>
      <c r="E208" s="130"/>
      <c r="F208" s="130"/>
      <c r="G208" s="130"/>
      <c r="H208" s="130"/>
      <c r="I208" s="130"/>
      <c r="J208" s="130"/>
      <c r="K208" s="130"/>
      <c r="L208" s="310">
        <v>209.19</v>
      </c>
      <c r="M208" s="310">
        <v>252.23</v>
      </c>
      <c r="N208" s="310">
        <v>260.14</v>
      </c>
      <c r="O208" s="310">
        <v>235.8</v>
      </c>
      <c r="P208" s="310">
        <v>270.8</v>
      </c>
      <c r="Q208" s="310">
        <v>291.27999999999997</v>
      </c>
      <c r="R208" s="310">
        <v>303.17</v>
      </c>
      <c r="S208" s="310">
        <v>294.7</v>
      </c>
      <c r="T208" s="310">
        <v>253.47</v>
      </c>
      <c r="U208" s="310">
        <v>255.2</v>
      </c>
      <c r="V208" s="310">
        <v>222.9</v>
      </c>
      <c r="W208" s="310">
        <v>252.06</v>
      </c>
      <c r="X208" s="310">
        <v>246.75</v>
      </c>
      <c r="Y208" s="310">
        <f>(AE208)</f>
        <v>219.93200784519996</v>
      </c>
      <c r="Z208" s="310"/>
      <c r="AB208" s="310">
        <v>63.083953811300077</v>
      </c>
      <c r="AC208" s="310">
        <v>128.85067147640004</v>
      </c>
      <c r="AD208" s="310">
        <v>194.39354261249963</v>
      </c>
      <c r="AE208" s="310">
        <v>219.93200784519996</v>
      </c>
      <c r="AF208" s="310">
        <v>64.563267246499962</v>
      </c>
      <c r="AG208" s="237"/>
      <c r="AH208" s="237"/>
      <c r="AI208" s="237"/>
      <c r="AK208" s="310">
        <f t="shared" si="144"/>
        <v>63.083953811300077</v>
      </c>
      <c r="AL208" s="310">
        <f t="shared" si="139"/>
        <v>65.766717665099961</v>
      </c>
      <c r="AM208" s="310">
        <f t="shared" si="140"/>
        <v>65.542871136099592</v>
      </c>
      <c r="AN208" s="310">
        <f t="shared" si="141"/>
        <v>25.538465232700332</v>
      </c>
      <c r="AO208" s="310">
        <f t="shared" si="145"/>
        <v>64.563267246499962</v>
      </c>
      <c r="AP208" s="310"/>
      <c r="AQ208" s="310"/>
      <c r="AR208" s="310"/>
    </row>
    <row r="209" spans="2:44" ht="15" customHeight="1" x14ac:dyDescent="0.25">
      <c r="B209" s="130" t="s">
        <v>76</v>
      </c>
      <c r="C209" s="130"/>
      <c r="D209" s="130"/>
      <c r="E209" s="130"/>
      <c r="F209" s="130"/>
      <c r="G209" s="130"/>
      <c r="H209" s="130"/>
      <c r="I209" s="130"/>
      <c r="J209" s="130"/>
      <c r="K209" s="130"/>
      <c r="L209" s="310">
        <v>1.54</v>
      </c>
      <c r="M209" s="310">
        <v>1.3</v>
      </c>
      <c r="N209" s="310">
        <v>1.1200000000000001</v>
      </c>
      <c r="O209" s="310">
        <v>1.1000000000000001</v>
      </c>
      <c r="P209" s="310">
        <v>1.6</v>
      </c>
      <c r="Q209" s="310">
        <v>1.99</v>
      </c>
      <c r="R209" s="310">
        <v>1.28</v>
      </c>
      <c r="S209" s="310">
        <v>3.31</v>
      </c>
      <c r="T209" s="310">
        <v>0.66</v>
      </c>
      <c r="U209" s="310">
        <v>0.96</v>
      </c>
      <c r="V209" s="310">
        <v>0.61</v>
      </c>
      <c r="W209" s="310">
        <v>0.61</v>
      </c>
      <c r="X209" s="310">
        <v>0.92</v>
      </c>
      <c r="Y209" s="310">
        <f>AE209</f>
        <v>0.97492101359999994</v>
      </c>
      <c r="Z209" s="310"/>
      <c r="AB209" s="310">
        <v>0.24345973519999997</v>
      </c>
      <c r="AC209" s="310">
        <v>0.4937716801</v>
      </c>
      <c r="AD209" s="310">
        <v>0.73096024789999992</v>
      </c>
      <c r="AE209" s="310">
        <v>0.97492101359999994</v>
      </c>
      <c r="AF209" s="310">
        <v>0.16788362009999996</v>
      </c>
      <c r="AG209" s="237"/>
      <c r="AH209" s="237"/>
      <c r="AI209" s="237"/>
      <c r="AK209" s="310">
        <f t="shared" si="144"/>
        <v>0.24345973519999997</v>
      </c>
      <c r="AL209" s="310">
        <f t="shared" si="139"/>
        <v>0.25031194490000003</v>
      </c>
      <c r="AM209" s="310">
        <f t="shared" si="140"/>
        <v>0.23718856779999992</v>
      </c>
      <c r="AN209" s="310">
        <f t="shared" si="141"/>
        <v>0.24396076570000003</v>
      </c>
      <c r="AO209" s="310">
        <f t="shared" si="145"/>
        <v>0.16788362009999996</v>
      </c>
      <c r="AP209" s="310"/>
      <c r="AQ209" s="310"/>
      <c r="AR209" s="310"/>
    </row>
    <row r="210" spans="2:44" ht="15" customHeight="1" x14ac:dyDescent="0.25">
      <c r="B210" s="40" t="s">
        <v>77</v>
      </c>
      <c r="C210" s="40"/>
      <c r="D210" s="40"/>
      <c r="E210" s="40"/>
      <c r="F210" s="40"/>
      <c r="G210" s="40"/>
      <c r="H210" s="40"/>
      <c r="I210" s="40"/>
      <c r="J210" s="40"/>
      <c r="K210" s="40"/>
      <c r="L210" s="301">
        <v>254.17</v>
      </c>
      <c r="M210" s="301">
        <v>288.61</v>
      </c>
      <c r="N210" s="301">
        <v>374.42</v>
      </c>
      <c r="O210" s="301">
        <v>355.45</v>
      </c>
      <c r="P210" s="301">
        <v>275.26</v>
      </c>
      <c r="Q210" s="301">
        <v>400.85</v>
      </c>
      <c r="R210" s="301">
        <v>359.79</v>
      </c>
      <c r="S210" s="301">
        <v>437.02</v>
      </c>
      <c r="T210" s="301">
        <v>399.37</v>
      </c>
      <c r="U210" s="301">
        <v>658.09</v>
      </c>
      <c r="V210" s="301">
        <v>633.49</v>
      </c>
      <c r="W210" s="301">
        <v>697.53</v>
      </c>
      <c r="X210" s="301">
        <v>1007.96</v>
      </c>
      <c r="Y210" s="301">
        <f>+AE210</f>
        <v>854.85381794789453</v>
      </c>
      <c r="Z210" s="301"/>
      <c r="AB210" s="301">
        <v>192.70749899620199</v>
      </c>
      <c r="AC210" s="301">
        <v>231.25816930530632</v>
      </c>
      <c r="AD210" s="301">
        <v>732.6936723000349</v>
      </c>
      <c r="AE210" s="301">
        <v>854.85381794789453</v>
      </c>
      <c r="AF210" s="301">
        <v>163.35057189630007</v>
      </c>
      <c r="AG210" s="244"/>
      <c r="AH210" s="244"/>
      <c r="AI210" s="244"/>
      <c r="AK210" s="301">
        <f t="shared" si="144"/>
        <v>192.70749899620199</v>
      </c>
      <c r="AL210" s="301">
        <f t="shared" si="139"/>
        <v>38.550670309104333</v>
      </c>
      <c r="AM210" s="301">
        <f t="shared" si="140"/>
        <v>501.43550299472861</v>
      </c>
      <c r="AN210" s="301">
        <f t="shared" si="141"/>
        <v>122.16014564785962</v>
      </c>
      <c r="AO210" s="301">
        <f t="shared" si="145"/>
        <v>163.35057189630007</v>
      </c>
      <c r="AP210" s="301"/>
      <c r="AQ210" s="301"/>
      <c r="AR210" s="301"/>
    </row>
    <row r="211" spans="2:44" ht="15" customHeight="1" outlineLevel="1" x14ac:dyDescent="0.25">
      <c r="B211" s="148" t="s">
        <v>50</v>
      </c>
      <c r="C211" s="148"/>
      <c r="D211" s="148"/>
      <c r="E211" s="148"/>
      <c r="F211" s="148"/>
      <c r="G211" s="148"/>
      <c r="H211" s="148"/>
      <c r="I211" s="148"/>
      <c r="J211" s="148"/>
      <c r="K211" s="148"/>
      <c r="L211" s="309">
        <v>131.36000000000001</v>
      </c>
      <c r="M211" s="309">
        <v>152.58000000000001</v>
      </c>
      <c r="N211" s="309">
        <v>166.4</v>
      </c>
      <c r="O211" s="309">
        <v>160.24</v>
      </c>
      <c r="P211" s="309">
        <v>93.39</v>
      </c>
      <c r="Q211" s="309">
        <v>116.79</v>
      </c>
      <c r="R211" s="309">
        <v>93.46</v>
      </c>
      <c r="S211" s="309">
        <v>188.45</v>
      </c>
      <c r="T211" s="309">
        <v>193.66</v>
      </c>
      <c r="U211" s="309">
        <v>249.46</v>
      </c>
      <c r="V211" s="309">
        <v>260.83619552698792</v>
      </c>
      <c r="W211" s="309">
        <v>135.55000000000001</v>
      </c>
      <c r="X211" s="309">
        <v>359.06</v>
      </c>
      <c r="Y211" s="309">
        <f>AE211</f>
        <v>181.94497838570069</v>
      </c>
      <c r="Z211" s="309"/>
      <c r="AB211" s="309">
        <v>92.0533201631998</v>
      </c>
      <c r="AC211" s="309">
        <v>93.819932870498931</v>
      </c>
      <c r="AD211" s="309">
        <v>111.72676585269818</v>
      </c>
      <c r="AE211" s="309">
        <v>181.94497838570069</v>
      </c>
      <c r="AF211" s="309">
        <v>48.952809160000051</v>
      </c>
      <c r="AG211" s="309"/>
      <c r="AH211" s="309"/>
      <c r="AI211" s="309"/>
      <c r="AK211" s="309">
        <f t="shared" si="144"/>
        <v>92.0533201631998</v>
      </c>
      <c r="AL211" s="309">
        <f t="shared" si="139"/>
        <v>1.7666127072991316</v>
      </c>
      <c r="AM211" s="309">
        <f t="shared" si="140"/>
        <v>17.906832982199248</v>
      </c>
      <c r="AN211" s="309">
        <f t="shared" si="141"/>
        <v>70.218212533002514</v>
      </c>
      <c r="AO211" s="309">
        <f t="shared" si="145"/>
        <v>48.952809160000051</v>
      </c>
      <c r="AP211" s="309"/>
      <c r="AQ211" s="309"/>
      <c r="AR211" s="309"/>
    </row>
    <row r="212" spans="2:44" ht="15" customHeight="1" outlineLevel="1" x14ac:dyDescent="0.25">
      <c r="B212" s="148" t="s">
        <v>51</v>
      </c>
      <c r="C212" s="148"/>
      <c r="D212" s="148"/>
      <c r="E212" s="148"/>
      <c r="F212" s="148"/>
      <c r="G212" s="148"/>
      <c r="H212" s="148"/>
      <c r="I212" s="148"/>
      <c r="J212" s="148"/>
      <c r="K212" s="148"/>
      <c r="L212" s="309">
        <v>81.819999999999993</v>
      </c>
      <c r="M212" s="309">
        <v>83.02</v>
      </c>
      <c r="N212" s="309">
        <v>92.37</v>
      </c>
      <c r="O212" s="309">
        <v>103.94</v>
      </c>
      <c r="P212" s="309">
        <v>107.06</v>
      </c>
      <c r="Q212" s="309">
        <v>234.3</v>
      </c>
      <c r="R212" s="309">
        <v>151.01</v>
      </c>
      <c r="S212" s="309">
        <v>158.08000000000001</v>
      </c>
      <c r="T212" s="309">
        <v>168.67</v>
      </c>
      <c r="U212" s="309">
        <v>328.41</v>
      </c>
      <c r="V212" s="309">
        <v>126.79</v>
      </c>
      <c r="W212" s="309">
        <v>441.73</v>
      </c>
      <c r="X212" s="309">
        <v>154.24</v>
      </c>
      <c r="Y212" s="309">
        <f>AE212</f>
        <v>146.6018685191998</v>
      </c>
      <c r="Z212" s="309"/>
      <c r="AB212" s="309">
        <v>43.190765102399951</v>
      </c>
      <c r="AC212" s="309">
        <v>74.000697436100452</v>
      </c>
      <c r="AD212" s="309">
        <v>109.17618677819881</v>
      </c>
      <c r="AE212" s="309">
        <v>146.6018685191998</v>
      </c>
      <c r="AF212" s="309">
        <v>48.853260330000012</v>
      </c>
      <c r="AG212" s="309"/>
      <c r="AH212" s="309"/>
      <c r="AI212" s="309"/>
      <c r="AK212" s="309">
        <f t="shared" si="144"/>
        <v>43.190765102399951</v>
      </c>
      <c r="AL212" s="309">
        <f t="shared" si="139"/>
        <v>30.809932333700502</v>
      </c>
      <c r="AM212" s="309">
        <f t="shared" si="140"/>
        <v>35.175489342098359</v>
      </c>
      <c r="AN212" s="309">
        <f t="shared" si="141"/>
        <v>37.425681741000986</v>
      </c>
      <c r="AO212" s="309">
        <f t="shared" si="145"/>
        <v>48.853260330000012</v>
      </c>
      <c r="AP212" s="309"/>
      <c r="AQ212" s="309"/>
      <c r="AR212" s="309"/>
    </row>
    <row r="213" spans="2:44" ht="15" customHeight="1" outlineLevel="1" x14ac:dyDescent="0.25">
      <c r="B213" s="148" t="s">
        <v>52</v>
      </c>
      <c r="C213" s="148"/>
      <c r="D213" s="148"/>
      <c r="E213" s="148"/>
      <c r="F213" s="148"/>
      <c r="G213" s="148"/>
      <c r="H213" s="148"/>
      <c r="I213" s="148"/>
      <c r="J213" s="148"/>
      <c r="K213" s="148"/>
      <c r="L213" s="309">
        <v>40.880000000000003</v>
      </c>
      <c r="M213" s="309">
        <v>9.7799999999999994</v>
      </c>
      <c r="N213" s="309">
        <v>123.52</v>
      </c>
      <c r="O213" s="309">
        <v>98.01</v>
      </c>
      <c r="P213" s="309">
        <v>64.900000000000006</v>
      </c>
      <c r="Q213" s="309">
        <v>70.31</v>
      </c>
      <c r="R213" s="309">
        <v>96.2</v>
      </c>
      <c r="S213" s="309">
        <v>116.5</v>
      </c>
      <c r="T213" s="309">
        <v>82.01</v>
      </c>
      <c r="U213" s="309">
        <v>133.80000000000001</v>
      </c>
      <c r="V213" s="309">
        <v>95.865590248402512</v>
      </c>
      <c r="W213" s="309">
        <v>137.44999999999999</v>
      </c>
      <c r="X213" s="309">
        <v>463.57</v>
      </c>
      <c r="Y213" s="309">
        <f>AE213</f>
        <v>394.52820581220448</v>
      </c>
      <c r="Z213" s="309"/>
      <c r="AB213" s="309">
        <v>66.863009106199868</v>
      </c>
      <c r="AC213" s="309">
        <v>61.398207156202702</v>
      </c>
      <c r="AD213" s="309">
        <v>373.93772368590169</v>
      </c>
      <c r="AE213" s="309">
        <v>394.52820581220448</v>
      </c>
      <c r="AF213" s="309">
        <v>65.432367786300006</v>
      </c>
      <c r="AG213" s="309"/>
      <c r="AH213" s="309"/>
      <c r="AI213" s="309"/>
      <c r="AK213" s="309">
        <f t="shared" si="144"/>
        <v>66.863009106199868</v>
      </c>
      <c r="AL213" s="309">
        <f t="shared" si="139"/>
        <v>-5.4648019499971667</v>
      </c>
      <c r="AM213" s="309">
        <f t="shared" si="140"/>
        <v>312.53951652969897</v>
      </c>
      <c r="AN213" s="309">
        <f t="shared" si="141"/>
        <v>20.590482126302788</v>
      </c>
      <c r="AO213" s="309">
        <f t="shared" si="145"/>
        <v>65.432367786300006</v>
      </c>
      <c r="AP213" s="309"/>
      <c r="AQ213" s="309"/>
      <c r="AR213" s="309"/>
    </row>
    <row r="216" spans="2:44" ht="15" customHeight="1" x14ac:dyDescent="0.25">
      <c r="B216" s="169" t="s">
        <v>78</v>
      </c>
      <c r="C216" s="169"/>
      <c r="D216" s="169"/>
      <c r="E216" s="169"/>
      <c r="F216" s="169"/>
      <c r="G216" s="169"/>
      <c r="H216" s="169"/>
      <c r="I216" s="169"/>
      <c r="J216" s="169"/>
      <c r="K216" s="169"/>
      <c r="L216" s="228">
        <v>2010</v>
      </c>
      <c r="M216" s="228">
        <v>2011</v>
      </c>
      <c r="N216" s="228">
        <v>2012</v>
      </c>
      <c r="O216" s="228">
        <v>2013</v>
      </c>
      <c r="P216" s="228">
        <v>2014</v>
      </c>
      <c r="Q216" s="228">
        <v>2015</v>
      </c>
      <c r="R216" s="228">
        <v>2016</v>
      </c>
      <c r="S216" s="228">
        <v>2017</v>
      </c>
      <c r="T216" s="228">
        <v>2018</v>
      </c>
      <c r="U216" s="228">
        <v>2019</v>
      </c>
      <c r="V216" s="228">
        <v>2020</v>
      </c>
      <c r="W216" s="228">
        <v>2021</v>
      </c>
      <c r="X216" s="231">
        <v>2022</v>
      </c>
      <c r="Y216" s="229">
        <v>2023</v>
      </c>
      <c r="Z216" s="230">
        <v>2024</v>
      </c>
      <c r="AB216" s="231" t="s">
        <v>291</v>
      </c>
      <c r="AC216" s="231" t="s">
        <v>292</v>
      </c>
      <c r="AD216" s="231" t="s">
        <v>293</v>
      </c>
      <c r="AE216" s="231">
        <v>2023</v>
      </c>
      <c r="AF216" s="232" t="s">
        <v>318</v>
      </c>
      <c r="AG216" s="232" t="s">
        <v>319</v>
      </c>
      <c r="AH216" s="232" t="s">
        <v>320</v>
      </c>
      <c r="AI216" s="232">
        <v>2024</v>
      </c>
      <c r="AK216" s="231" t="s">
        <v>291</v>
      </c>
      <c r="AL216" s="231" t="s">
        <v>296</v>
      </c>
      <c r="AM216" s="231" t="s">
        <v>294</v>
      </c>
      <c r="AN216" s="231" t="s">
        <v>295</v>
      </c>
      <c r="AO216" s="232" t="s">
        <v>318</v>
      </c>
      <c r="AP216" s="232" t="s">
        <v>321</v>
      </c>
      <c r="AQ216" s="232" t="s">
        <v>322</v>
      </c>
      <c r="AR216" s="232" t="s">
        <v>323</v>
      </c>
    </row>
    <row r="217" spans="2:44" ht="15" customHeight="1" x14ac:dyDescent="0.25">
      <c r="B217" s="6" t="s">
        <v>79</v>
      </c>
      <c r="C217" s="6"/>
      <c r="D217" s="6"/>
      <c r="E217" s="6"/>
      <c r="F217" s="6"/>
      <c r="G217" s="6"/>
      <c r="H217" s="6"/>
      <c r="I217" s="6"/>
      <c r="J217" s="6"/>
      <c r="K217" s="6"/>
      <c r="L217" s="301">
        <v>3200.03</v>
      </c>
      <c r="M217" s="301">
        <v>3651.86</v>
      </c>
      <c r="N217" s="301">
        <v>3876.44</v>
      </c>
      <c r="O217" s="301">
        <v>4166.72</v>
      </c>
      <c r="P217" s="301">
        <v>4230.76</v>
      </c>
      <c r="Q217" s="301">
        <v>4964.6099999999997</v>
      </c>
      <c r="R217" s="301">
        <v>4986.46</v>
      </c>
      <c r="S217" s="301">
        <v>5060.8599999999997</v>
      </c>
      <c r="T217" s="301">
        <v>5271.96</v>
      </c>
      <c r="U217" s="301">
        <v>4401.3500000000004</v>
      </c>
      <c r="V217" s="301">
        <v>4768.72</v>
      </c>
      <c r="W217" s="301">
        <v>5229.5600000000004</v>
      </c>
      <c r="X217" s="301">
        <v>5158.1400000000003</v>
      </c>
      <c r="Y217" s="301">
        <f t="shared" ref="Y217:Y227" si="146">AE217</f>
        <v>5535.2750000000005</v>
      </c>
      <c r="Z217" s="301"/>
      <c r="AB217" s="301">
        <v>5186.6349999999993</v>
      </c>
      <c r="AC217" s="301">
        <v>5488.4549999999999</v>
      </c>
      <c r="AD217" s="301">
        <v>5307.3650000000007</v>
      </c>
      <c r="AE217" s="301">
        <v>5535.2750000000005</v>
      </c>
      <c r="AF217" s="301">
        <v>5546.4749999999995</v>
      </c>
      <c r="AG217" s="301"/>
      <c r="AH217" s="301"/>
      <c r="AI217" s="301"/>
      <c r="AK217" s="301"/>
      <c r="AL217" s="301"/>
      <c r="AM217" s="301"/>
      <c r="AN217" s="301"/>
      <c r="AO217" s="301"/>
      <c r="AP217" s="301"/>
      <c r="AQ217" s="301"/>
      <c r="AR217" s="301"/>
    </row>
    <row r="218" spans="2:44" ht="15" customHeight="1" x14ac:dyDescent="0.25">
      <c r="B218" s="130" t="s">
        <v>50</v>
      </c>
      <c r="C218" s="130"/>
      <c r="D218" s="130"/>
      <c r="E218" s="130"/>
      <c r="F218" s="130"/>
      <c r="G218" s="130"/>
      <c r="H218" s="130"/>
      <c r="I218" s="130"/>
      <c r="J218" s="130"/>
      <c r="K218" s="130"/>
      <c r="L218" s="310">
        <v>2049.61</v>
      </c>
      <c r="M218" s="310">
        <v>2200.94</v>
      </c>
      <c r="N218" s="310">
        <v>2310.44</v>
      </c>
      <c r="O218" s="310">
        <v>2194.0700000000002</v>
      </c>
      <c r="P218" s="310">
        <v>2194.0700000000002</v>
      </c>
      <c r="Q218" s="310">
        <v>2194.2199999999998</v>
      </c>
      <c r="R218" s="310">
        <v>2194.2199999999998</v>
      </c>
      <c r="S218" s="310">
        <v>2243.7199999999998</v>
      </c>
      <c r="T218" s="310">
        <v>2311.52</v>
      </c>
      <c r="U218" s="310">
        <v>1974.2</v>
      </c>
      <c r="V218" s="310">
        <v>2137.37</v>
      </c>
      <c r="W218" s="310">
        <v>2193.61</v>
      </c>
      <c r="X218" s="310">
        <v>2166.08</v>
      </c>
      <c r="Y218" s="310" vm="424">
        <f t="shared" si="146"/>
        <v>2041.5900000000001</v>
      </c>
      <c r="Z218" s="310"/>
      <c r="AB218" s="310" vm="63">
        <v>2166.0849999999996</v>
      </c>
      <c r="AC218" s="310" vm="383">
        <v>2210.8850000000002</v>
      </c>
      <c r="AD218" s="310" vm="263">
        <v>1955.0700000000004</v>
      </c>
      <c r="AE218" s="310" vm="424">
        <v>2041.5900000000001</v>
      </c>
      <c r="AF218" s="310" vm="567">
        <v>2041.5899999999997</v>
      </c>
      <c r="AG218" s="310"/>
      <c r="AH218" s="310"/>
      <c r="AI218" s="310"/>
      <c r="AK218" s="310"/>
      <c r="AL218" s="310"/>
      <c r="AM218" s="310"/>
      <c r="AN218" s="310"/>
      <c r="AO218" s="310"/>
      <c r="AP218" s="310"/>
      <c r="AQ218" s="310"/>
      <c r="AR218" s="310"/>
    </row>
    <row r="219" spans="2:44" ht="15" customHeight="1" x14ac:dyDescent="0.25">
      <c r="B219" s="130" t="s">
        <v>51</v>
      </c>
      <c r="C219" s="130"/>
      <c r="D219" s="130"/>
      <c r="E219" s="130"/>
      <c r="F219" s="130"/>
      <c r="G219" s="130"/>
      <c r="H219" s="130"/>
      <c r="I219" s="130"/>
      <c r="J219" s="130"/>
      <c r="K219" s="130"/>
      <c r="L219" s="310">
        <v>599.16999999999996</v>
      </c>
      <c r="M219" s="310">
        <v>613.07000000000005</v>
      </c>
      <c r="N219" s="310">
        <v>615.37</v>
      </c>
      <c r="O219" s="310">
        <v>619.37</v>
      </c>
      <c r="P219" s="310">
        <v>623.72</v>
      </c>
      <c r="Q219" s="310">
        <v>1246.92</v>
      </c>
      <c r="R219" s="310">
        <v>1250.77</v>
      </c>
      <c r="S219" s="310">
        <v>1253.27</v>
      </c>
      <c r="T219" s="310">
        <v>1308.57</v>
      </c>
      <c r="U219" s="310">
        <v>1164.47</v>
      </c>
      <c r="V219" s="310">
        <v>1228.47</v>
      </c>
      <c r="W219" s="310">
        <v>1142.17</v>
      </c>
      <c r="X219" s="310">
        <v>1168.47</v>
      </c>
      <c r="Y219" s="310" vm="409">
        <f t="shared" si="146"/>
        <v>1412.9700000000003</v>
      </c>
      <c r="Z219" s="310"/>
      <c r="AB219" s="310" vm="62">
        <v>1168.47</v>
      </c>
      <c r="AC219" s="310" vm="150">
        <v>1190.0700000000002</v>
      </c>
      <c r="AD219" s="310" vm="264">
        <v>1392.0700000000002</v>
      </c>
      <c r="AE219" s="310" vm="409">
        <v>1412.9700000000003</v>
      </c>
      <c r="AF219" s="310" vm="571">
        <v>1412.9699999999996</v>
      </c>
      <c r="AG219" s="310"/>
      <c r="AH219" s="310"/>
      <c r="AI219" s="310"/>
      <c r="AK219" s="310"/>
      <c r="AL219" s="310"/>
      <c r="AM219" s="310"/>
      <c r="AN219" s="310"/>
      <c r="AO219" s="310"/>
      <c r="AP219" s="310"/>
      <c r="AQ219" s="310"/>
      <c r="AR219" s="310"/>
    </row>
    <row r="220" spans="2:44" ht="15" customHeight="1" x14ac:dyDescent="0.25">
      <c r="B220" s="130" t="s">
        <v>52</v>
      </c>
      <c r="C220" s="130"/>
      <c r="D220" s="130"/>
      <c r="E220" s="130"/>
      <c r="F220" s="130"/>
      <c r="G220" s="130"/>
      <c r="H220" s="130"/>
      <c r="I220" s="130"/>
      <c r="J220" s="130"/>
      <c r="K220" s="130"/>
      <c r="L220" s="310">
        <v>551.25</v>
      </c>
      <c r="M220" s="310">
        <v>837.85</v>
      </c>
      <c r="N220" s="310">
        <v>950.63</v>
      </c>
      <c r="O220" s="310">
        <v>1353.28</v>
      </c>
      <c r="P220" s="310">
        <v>1412.97</v>
      </c>
      <c r="Q220" s="310">
        <v>1523.47</v>
      </c>
      <c r="R220" s="310">
        <v>1541.47</v>
      </c>
      <c r="S220" s="310">
        <v>1563.87</v>
      </c>
      <c r="T220" s="310">
        <v>1651.87</v>
      </c>
      <c r="U220" s="310">
        <v>1262.68</v>
      </c>
      <c r="V220" s="310">
        <v>1402.88</v>
      </c>
      <c r="W220" s="310">
        <v>1893.78</v>
      </c>
      <c r="X220" s="310">
        <v>1823.58</v>
      </c>
      <c r="Y220" s="310">
        <f t="shared" si="146"/>
        <v>2080.7150000000001</v>
      </c>
      <c r="Z220" s="310"/>
      <c r="AB220" s="310">
        <v>1852.08</v>
      </c>
      <c r="AC220" s="310">
        <v>2087.4999999999995</v>
      </c>
      <c r="AD220" s="310">
        <v>1960.2250000000001</v>
      </c>
      <c r="AE220" s="310">
        <v>2080.7150000000001</v>
      </c>
      <c r="AF220" s="310">
        <v>2091.915</v>
      </c>
      <c r="AG220" s="310"/>
      <c r="AH220" s="310"/>
      <c r="AI220" s="310"/>
      <c r="AK220" s="310"/>
      <c r="AL220" s="310"/>
      <c r="AM220" s="310"/>
      <c r="AN220" s="310"/>
      <c r="AO220" s="310"/>
      <c r="AP220" s="310"/>
      <c r="AQ220" s="310"/>
      <c r="AR220" s="310"/>
    </row>
    <row r="221" spans="2:44" ht="15" customHeight="1" outlineLevel="1" x14ac:dyDescent="0.25">
      <c r="B221" s="148" t="s">
        <v>466</v>
      </c>
      <c r="C221" s="148"/>
      <c r="D221" s="148"/>
      <c r="E221" s="148"/>
      <c r="F221" s="148"/>
      <c r="G221" s="148"/>
      <c r="H221" s="148"/>
      <c r="I221" s="148"/>
      <c r="J221" s="148"/>
      <c r="K221" s="148"/>
      <c r="L221" s="309">
        <v>284.25</v>
      </c>
      <c r="M221" s="309">
        <v>305.85000000000002</v>
      </c>
      <c r="N221" s="309">
        <v>313.85000000000002</v>
      </c>
      <c r="O221" s="309">
        <v>321.85000000000002</v>
      </c>
      <c r="P221" s="309">
        <v>339.54</v>
      </c>
      <c r="Q221" s="309">
        <v>363.54</v>
      </c>
      <c r="R221" s="309">
        <v>387.54</v>
      </c>
      <c r="S221" s="309">
        <v>409.94</v>
      </c>
      <c r="T221" s="309">
        <v>420.94</v>
      </c>
      <c r="U221" s="309">
        <v>52.8</v>
      </c>
      <c r="V221" s="309">
        <v>125.5</v>
      </c>
      <c r="W221" s="309">
        <v>181.2</v>
      </c>
      <c r="X221" s="309">
        <v>214.2</v>
      </c>
      <c r="Y221" s="309" vm="534">
        <f t="shared" si="146"/>
        <v>244.27</v>
      </c>
      <c r="Z221" s="309"/>
      <c r="AB221" s="309" vm="64">
        <v>214.20000000000002</v>
      </c>
      <c r="AC221" s="309" vm="387">
        <v>214.20000000000002</v>
      </c>
      <c r="AD221" s="309" vm="309">
        <v>229.20000000000002</v>
      </c>
      <c r="AE221" s="309" vm="534">
        <v>244.27</v>
      </c>
      <c r="AF221" s="309" vm="576">
        <v>244.26999999999998</v>
      </c>
      <c r="AG221" s="253"/>
      <c r="AH221" s="253"/>
      <c r="AI221" s="253"/>
      <c r="AK221" s="309"/>
      <c r="AL221" s="309"/>
      <c r="AM221" s="309"/>
      <c r="AN221" s="309"/>
      <c r="AO221" s="309"/>
      <c r="AP221" s="309"/>
      <c r="AQ221" s="309"/>
      <c r="AR221" s="309"/>
    </row>
    <row r="222" spans="2:44" ht="15" customHeight="1" outlineLevel="1" x14ac:dyDescent="0.25">
      <c r="B222" s="148" t="s">
        <v>58</v>
      </c>
      <c r="C222" s="148"/>
      <c r="D222" s="148"/>
      <c r="E222" s="148"/>
      <c r="F222" s="148"/>
      <c r="G222" s="148"/>
      <c r="H222" s="148"/>
      <c r="I222" s="148"/>
      <c r="J222" s="148"/>
      <c r="K222" s="148"/>
      <c r="L222" s="309">
        <v>57</v>
      </c>
      <c r="M222" s="309">
        <v>57</v>
      </c>
      <c r="N222" s="309">
        <v>57</v>
      </c>
      <c r="O222" s="309">
        <v>70.55</v>
      </c>
      <c r="P222" s="309">
        <v>70.55</v>
      </c>
      <c r="Q222" s="309">
        <v>70.55</v>
      </c>
      <c r="R222" s="309">
        <v>70.55</v>
      </c>
      <c r="S222" s="309">
        <v>70.55</v>
      </c>
      <c r="T222" s="309">
        <v>70.55</v>
      </c>
      <c r="U222" s="309">
        <v>0</v>
      </c>
      <c r="V222" s="309">
        <v>10</v>
      </c>
      <c r="W222" s="309">
        <v>10.5</v>
      </c>
      <c r="X222" s="309">
        <v>10.5</v>
      </c>
      <c r="Y222" s="309" vm="151">
        <f t="shared" si="146"/>
        <v>10.5</v>
      </c>
      <c r="Z222" s="309"/>
      <c r="AB222" s="309" vm="69">
        <v>10.5</v>
      </c>
      <c r="AC222" s="309" vm="151">
        <v>10.5</v>
      </c>
      <c r="AD222" s="309" vm="151">
        <v>10.5</v>
      </c>
      <c r="AE222" s="309" vm="151">
        <v>10.5</v>
      </c>
      <c r="AF222" s="309" vm="487">
        <v>10.5</v>
      </c>
      <c r="AG222" s="253"/>
      <c r="AH222" s="253"/>
      <c r="AI222" s="253"/>
      <c r="AK222" s="309"/>
      <c r="AL222" s="309"/>
      <c r="AM222" s="309"/>
      <c r="AN222" s="309"/>
      <c r="AO222" s="309"/>
      <c r="AP222" s="309"/>
      <c r="AQ222" s="309"/>
      <c r="AR222" s="309"/>
    </row>
    <row r="223" spans="2:44" ht="15" customHeight="1" outlineLevel="1" x14ac:dyDescent="0.25">
      <c r="B223" s="148" t="s">
        <v>467</v>
      </c>
      <c r="C223" s="148"/>
      <c r="D223" s="148"/>
      <c r="E223" s="148"/>
      <c r="F223" s="148"/>
      <c r="G223" s="148"/>
      <c r="H223" s="148"/>
      <c r="I223" s="148"/>
      <c r="J223" s="148"/>
      <c r="K223" s="148"/>
      <c r="L223" s="309">
        <v>120</v>
      </c>
      <c r="M223" s="309">
        <v>190</v>
      </c>
      <c r="N223" s="309">
        <v>190</v>
      </c>
      <c r="O223" s="309">
        <v>369.5</v>
      </c>
      <c r="P223" s="309">
        <v>391.5</v>
      </c>
      <c r="Q223" s="309">
        <v>468</v>
      </c>
      <c r="R223" s="309">
        <v>418</v>
      </c>
      <c r="S223" s="309">
        <v>418</v>
      </c>
      <c r="T223" s="309">
        <v>418</v>
      </c>
      <c r="U223" s="309">
        <v>418</v>
      </c>
      <c r="V223" s="309">
        <v>475.5</v>
      </c>
      <c r="W223" s="309">
        <v>747.18</v>
      </c>
      <c r="X223" s="309">
        <v>733.28</v>
      </c>
      <c r="Y223" s="309" vm="528">
        <f t="shared" si="146"/>
        <v>798.14</v>
      </c>
      <c r="Z223" s="309"/>
      <c r="AB223" s="309" vm="70">
        <v>733.27499999999998</v>
      </c>
      <c r="AC223" s="309" vm="415">
        <v>916.91499999999996</v>
      </c>
      <c r="AD223" s="309" vm="411">
        <v>774.64</v>
      </c>
      <c r="AE223" s="309" vm="528">
        <v>798.14</v>
      </c>
      <c r="AF223" s="309" vm="584">
        <v>798.14</v>
      </c>
      <c r="AG223" s="253"/>
      <c r="AH223" s="253"/>
      <c r="AI223" s="253"/>
      <c r="AK223" s="309"/>
      <c r="AL223" s="309"/>
      <c r="AM223" s="309"/>
      <c r="AN223" s="309"/>
      <c r="AO223" s="309"/>
      <c r="AP223" s="309"/>
      <c r="AQ223" s="309"/>
      <c r="AR223" s="309"/>
    </row>
    <row r="224" spans="2:44" ht="15" customHeight="1" outlineLevel="1" x14ac:dyDescent="0.25">
      <c r="B224" s="148" t="s">
        <v>468</v>
      </c>
      <c r="C224" s="148"/>
      <c r="D224" s="148"/>
      <c r="E224" s="148"/>
      <c r="F224" s="148"/>
      <c r="G224" s="148"/>
      <c r="H224" s="148"/>
      <c r="I224" s="148"/>
      <c r="J224" s="148"/>
      <c r="K224" s="148"/>
      <c r="L224" s="309">
        <v>90</v>
      </c>
      <c r="M224" s="309">
        <v>285</v>
      </c>
      <c r="N224" s="309">
        <v>349.78</v>
      </c>
      <c r="O224" s="309">
        <v>521.38</v>
      </c>
      <c r="P224" s="309">
        <v>521.38</v>
      </c>
      <c r="Q224" s="309">
        <v>521.38</v>
      </c>
      <c r="R224" s="309">
        <v>521.38</v>
      </c>
      <c r="S224" s="309">
        <v>521.38</v>
      </c>
      <c r="T224" s="309">
        <v>521.38</v>
      </c>
      <c r="U224" s="309">
        <v>521.38</v>
      </c>
      <c r="V224" s="309">
        <v>521.38</v>
      </c>
      <c r="W224" s="309">
        <v>521.38</v>
      </c>
      <c r="X224" s="309">
        <v>521.38</v>
      </c>
      <c r="Y224" s="309" vm="152">
        <f t="shared" si="146"/>
        <v>521.38</v>
      </c>
      <c r="Z224" s="309"/>
      <c r="AB224" s="309" vm="71">
        <v>521.38</v>
      </c>
      <c r="AC224" s="309" vm="152">
        <v>521.38</v>
      </c>
      <c r="AD224" s="309" vm="152">
        <v>521.38</v>
      </c>
      <c r="AE224" s="309" vm="152">
        <v>521.38</v>
      </c>
      <c r="AF224" s="309" vm="488">
        <v>521.38000000000011</v>
      </c>
      <c r="AG224" s="253"/>
      <c r="AH224" s="253"/>
      <c r="AI224" s="253"/>
      <c r="AK224" s="309"/>
      <c r="AL224" s="309"/>
      <c r="AM224" s="309"/>
      <c r="AN224" s="309"/>
      <c r="AO224" s="309"/>
      <c r="AP224" s="309"/>
      <c r="AQ224" s="309"/>
      <c r="AR224" s="309"/>
    </row>
    <row r="225" spans="1:44" ht="15" customHeight="1" outlineLevel="1" x14ac:dyDescent="0.25">
      <c r="B225" s="148" t="s">
        <v>469</v>
      </c>
      <c r="C225" s="148"/>
      <c r="D225" s="148"/>
      <c r="E225" s="148"/>
      <c r="F225" s="148"/>
      <c r="G225" s="148"/>
      <c r="H225" s="148"/>
      <c r="I225" s="148"/>
      <c r="J225" s="148"/>
      <c r="K225" s="148"/>
      <c r="L225" s="309" t="s">
        <v>17</v>
      </c>
      <c r="M225" s="309" t="s">
        <v>17</v>
      </c>
      <c r="N225" s="309">
        <v>40</v>
      </c>
      <c r="O225" s="309">
        <v>70</v>
      </c>
      <c r="P225" s="309">
        <v>90</v>
      </c>
      <c r="Q225" s="309">
        <v>100</v>
      </c>
      <c r="R225" s="309">
        <v>144</v>
      </c>
      <c r="S225" s="309">
        <v>144</v>
      </c>
      <c r="T225" s="309">
        <v>221</v>
      </c>
      <c r="U225" s="309">
        <v>270.5</v>
      </c>
      <c r="V225" s="309">
        <v>270.5</v>
      </c>
      <c r="W225" s="309">
        <v>384.3</v>
      </c>
      <c r="X225" s="309">
        <v>295</v>
      </c>
      <c r="Y225" s="309" vm="538">
        <f t="shared" si="146"/>
        <v>412.4</v>
      </c>
      <c r="Z225" s="309"/>
      <c r="AB225" s="309" vm="72">
        <v>323.5</v>
      </c>
      <c r="AC225" s="309" vm="414">
        <v>375.28000000000003</v>
      </c>
      <c r="AD225" s="309" vm="413">
        <v>375.28000000000003</v>
      </c>
      <c r="AE225" s="309" vm="538">
        <v>412.4</v>
      </c>
      <c r="AF225" s="309" vm="569">
        <v>412.4</v>
      </c>
      <c r="AG225" s="253"/>
      <c r="AH225" s="253"/>
      <c r="AI225" s="253"/>
      <c r="AK225" s="309"/>
      <c r="AL225" s="309"/>
      <c r="AM225" s="309"/>
      <c r="AN225" s="309"/>
      <c r="AO225" s="309"/>
      <c r="AP225" s="309"/>
      <c r="AQ225" s="309"/>
      <c r="AR225" s="309"/>
    </row>
    <row r="226" spans="1:44" ht="15" customHeight="1" outlineLevel="1" x14ac:dyDescent="0.25">
      <c r="B226" s="148" t="s">
        <v>254</v>
      </c>
      <c r="C226" s="148"/>
      <c r="D226" s="148"/>
      <c r="E226" s="148"/>
      <c r="F226" s="148"/>
      <c r="G226" s="148"/>
      <c r="H226" s="148"/>
      <c r="I226" s="148"/>
      <c r="J226" s="148"/>
      <c r="K226" s="148"/>
      <c r="L226" s="309">
        <v>0</v>
      </c>
      <c r="M226" s="309">
        <v>0</v>
      </c>
      <c r="N226" s="309">
        <v>0</v>
      </c>
      <c r="O226" s="309">
        <v>0</v>
      </c>
      <c r="P226" s="309">
        <v>0</v>
      </c>
      <c r="Q226" s="309">
        <v>0</v>
      </c>
      <c r="R226" s="309">
        <v>0</v>
      </c>
      <c r="S226" s="309">
        <v>0</v>
      </c>
      <c r="T226" s="309">
        <v>0</v>
      </c>
      <c r="U226" s="309">
        <v>0</v>
      </c>
      <c r="V226" s="309">
        <v>0</v>
      </c>
      <c r="W226" s="309">
        <v>4.5999999999999996</v>
      </c>
      <c r="X226" s="309">
        <v>4.5999999999999996</v>
      </c>
      <c r="Y226" s="309" vm="431">
        <f t="shared" si="146"/>
        <v>4.5999999999999996</v>
      </c>
      <c r="Z226" s="309"/>
      <c r="AB226" s="309" vm="111">
        <v>4.5999999999999996</v>
      </c>
      <c r="AC226" s="309" vm="389">
        <v>4.5999999999999996</v>
      </c>
      <c r="AD226" s="309" vm="249">
        <v>4.5999999999999996</v>
      </c>
      <c r="AE226" s="309" vm="431">
        <v>4.5999999999999996</v>
      </c>
      <c r="AF226" s="309" vm="577">
        <v>4.5999999999999996</v>
      </c>
      <c r="AG226" s="309"/>
      <c r="AH226" s="309"/>
      <c r="AI226" s="309"/>
      <c r="AK226" s="309"/>
      <c r="AL226" s="309"/>
      <c r="AM226" s="309"/>
      <c r="AN226" s="309"/>
      <c r="AO226" s="309"/>
      <c r="AP226" s="309"/>
      <c r="AQ226" s="309"/>
      <c r="AR226" s="309"/>
    </row>
    <row r="227" spans="1:44" ht="15" customHeight="1" outlineLevel="1" x14ac:dyDescent="0.25">
      <c r="B227" s="148" t="s">
        <v>470</v>
      </c>
      <c r="C227" s="148"/>
      <c r="D227" s="148"/>
      <c r="E227" s="148"/>
      <c r="F227" s="148"/>
      <c r="G227" s="148"/>
      <c r="H227" s="148"/>
      <c r="I227" s="148"/>
      <c r="J227" s="148"/>
      <c r="K227" s="148"/>
      <c r="L227" s="309">
        <v>0</v>
      </c>
      <c r="M227" s="309">
        <v>0</v>
      </c>
      <c r="N227" s="309">
        <v>0</v>
      </c>
      <c r="O227" s="309">
        <v>0</v>
      </c>
      <c r="P227" s="309">
        <v>0</v>
      </c>
      <c r="Q227" s="309">
        <v>0</v>
      </c>
      <c r="R227" s="309">
        <v>0</v>
      </c>
      <c r="S227" s="309">
        <v>0</v>
      </c>
      <c r="T227" s="309">
        <v>0</v>
      </c>
      <c r="U227" s="309">
        <v>0</v>
      </c>
      <c r="V227" s="309">
        <v>0</v>
      </c>
      <c r="W227" s="309">
        <v>44.62</v>
      </c>
      <c r="X227" s="309">
        <v>44.62</v>
      </c>
      <c r="Y227" s="309" vm="528">
        <f t="shared" si="146"/>
        <v>80.025000000000006</v>
      </c>
      <c r="Z227" s="309"/>
      <c r="AB227" s="309" vm="114">
        <v>44.625</v>
      </c>
      <c r="AC227" s="309" vm="388">
        <v>44.625</v>
      </c>
      <c r="AD227" s="309" vm="267">
        <v>44.625</v>
      </c>
      <c r="AE227" s="309" vm="528">
        <v>80.025000000000006</v>
      </c>
      <c r="AF227" s="309" vm="564">
        <v>80.025000000000006</v>
      </c>
      <c r="AG227" s="309"/>
      <c r="AH227" s="309"/>
      <c r="AI227" s="309"/>
      <c r="AK227" s="309"/>
      <c r="AL227" s="309"/>
      <c r="AM227" s="309"/>
      <c r="AN227" s="309"/>
      <c r="AO227" s="309"/>
      <c r="AP227" s="309"/>
      <c r="AQ227" s="309"/>
      <c r="AR227" s="309"/>
    </row>
    <row r="228" spans="1:44" ht="15" customHeight="1" outlineLevel="1" x14ac:dyDescent="0.25">
      <c r="B228" s="148" t="s">
        <v>315</v>
      </c>
      <c r="C228" s="148"/>
      <c r="D228" s="148"/>
      <c r="E228" s="148"/>
      <c r="F228" s="148"/>
      <c r="G228" s="148"/>
      <c r="H228" s="148"/>
      <c r="I228" s="148"/>
      <c r="J228" s="148"/>
      <c r="K228" s="148"/>
      <c r="L228" s="309">
        <v>0</v>
      </c>
      <c r="M228" s="309">
        <v>0</v>
      </c>
      <c r="N228" s="309">
        <v>0</v>
      </c>
      <c r="O228" s="309">
        <v>0</v>
      </c>
      <c r="P228" s="309">
        <v>0</v>
      </c>
      <c r="Q228" s="309">
        <v>0</v>
      </c>
      <c r="R228" s="309">
        <v>0</v>
      </c>
      <c r="S228" s="309">
        <v>0</v>
      </c>
      <c r="T228" s="309">
        <v>0</v>
      </c>
      <c r="U228" s="309">
        <v>0</v>
      </c>
      <c r="V228" s="309">
        <v>0</v>
      </c>
      <c r="W228" s="309">
        <v>0</v>
      </c>
      <c r="X228" s="309">
        <v>0</v>
      </c>
      <c r="Y228" s="309" vm="529">
        <f>AE228</f>
        <v>9.4</v>
      </c>
      <c r="Z228" s="309"/>
      <c r="AB228" s="309">
        <v>0</v>
      </c>
      <c r="AC228" s="309">
        <v>0</v>
      </c>
      <c r="AD228" s="309">
        <v>0</v>
      </c>
      <c r="AE228" s="309" vm="529">
        <v>9.4</v>
      </c>
      <c r="AF228" s="309" vm="526">
        <v>20.6</v>
      </c>
      <c r="AG228" s="309"/>
      <c r="AH228" s="309"/>
      <c r="AI228" s="309"/>
      <c r="AK228" s="309"/>
      <c r="AL228" s="309"/>
      <c r="AM228" s="309"/>
      <c r="AN228" s="309"/>
      <c r="AO228" s="309"/>
      <c r="AP228" s="309"/>
      <c r="AQ228" s="309"/>
      <c r="AR228" s="309"/>
    </row>
    <row r="229" spans="1:44" ht="15" customHeight="1" x14ac:dyDescent="0.25">
      <c r="B229" s="130"/>
      <c r="C229" s="130"/>
      <c r="D229" s="130"/>
      <c r="E229" s="130"/>
      <c r="F229" s="130"/>
      <c r="G229" s="130"/>
      <c r="H229" s="130"/>
      <c r="I229" s="130"/>
      <c r="J229" s="130"/>
      <c r="K229" s="130"/>
      <c r="Q229" s="332"/>
      <c r="R229" s="332"/>
      <c r="S229" s="332"/>
      <c r="T229" s="332"/>
      <c r="U229" s="332"/>
      <c r="W229" s="223"/>
    </row>
    <row r="230" spans="1:44" s="334" customFormat="1" ht="15" customHeight="1" x14ac:dyDescent="0.25">
      <c r="A230" s="4"/>
      <c r="B230" s="39" t="s">
        <v>245</v>
      </c>
      <c r="C230" s="39"/>
      <c r="D230" s="39"/>
      <c r="E230" s="39"/>
      <c r="F230" s="39"/>
      <c r="G230" s="39"/>
      <c r="H230" s="39"/>
      <c r="I230" s="39"/>
      <c r="J230" s="39"/>
      <c r="K230" s="39"/>
      <c r="L230" s="325">
        <v>0.27</v>
      </c>
      <c r="M230" s="325">
        <v>0.25</v>
      </c>
      <c r="N230" s="325">
        <v>0.26</v>
      </c>
      <c r="O230" s="325">
        <v>0.28000000000000003</v>
      </c>
      <c r="P230" s="325">
        <v>0.27</v>
      </c>
      <c r="Q230" s="325">
        <v>0.26</v>
      </c>
      <c r="R230" s="325">
        <v>0.26</v>
      </c>
      <c r="S230" s="325">
        <v>0.27</v>
      </c>
      <c r="T230" s="325">
        <v>0.26</v>
      </c>
      <c r="U230" s="325">
        <v>0.28000000000000003</v>
      </c>
      <c r="V230" s="325">
        <v>0.26</v>
      </c>
      <c r="W230" s="325">
        <v>0.26</v>
      </c>
      <c r="X230" s="325">
        <v>0.26</v>
      </c>
      <c r="Y230" s="325" vm="425">
        <f t="shared" ref="Y230:Y240" si="147">AE230</f>
        <v>0.26321205324859354</v>
      </c>
      <c r="Z230" s="325"/>
      <c r="AB230" s="325" vm="98">
        <v>0.3215729723831095</v>
      </c>
      <c r="AC230" s="325" vm="384">
        <v>0.26804359303109049</v>
      </c>
      <c r="AD230" s="325" vm="285">
        <v>0.24735914030495981</v>
      </c>
      <c r="AE230" s="325" vm="425">
        <v>0.26321205324859354</v>
      </c>
      <c r="AF230" s="325" vm="603">
        <v>0.32921217874026948</v>
      </c>
      <c r="AG230" s="325"/>
      <c r="AH230" s="325"/>
      <c r="AI230" s="325"/>
      <c r="AK230"/>
      <c r="AL230"/>
      <c r="AM230"/>
      <c r="AN230"/>
      <c r="AO230" s="325"/>
      <c r="AP230" s="325"/>
      <c r="AQ230" s="325"/>
      <c r="AR230" s="325"/>
    </row>
    <row r="231" spans="1:44" ht="15" customHeight="1" x14ac:dyDescent="0.25">
      <c r="B231" s="130" t="s">
        <v>50</v>
      </c>
      <c r="C231" s="130"/>
      <c r="D231" s="130"/>
      <c r="E231" s="130"/>
      <c r="F231" s="130"/>
      <c r="G231" s="130"/>
      <c r="H231" s="130"/>
      <c r="I231" s="130"/>
      <c r="J231" s="130"/>
      <c r="K231" s="130"/>
      <c r="L231" s="305">
        <v>0.27</v>
      </c>
      <c r="M231" s="305">
        <v>0.25</v>
      </c>
      <c r="N231" s="305">
        <v>0.27</v>
      </c>
      <c r="O231" s="305">
        <v>0.28999999999999998</v>
      </c>
      <c r="P231" s="305">
        <v>0.28000000000000003</v>
      </c>
      <c r="Q231" s="305">
        <v>0.26</v>
      </c>
      <c r="R231" s="305">
        <v>0.26</v>
      </c>
      <c r="S231" s="305">
        <v>0.27</v>
      </c>
      <c r="T231" s="305">
        <v>0.26</v>
      </c>
      <c r="U231" s="305">
        <v>0.28000000000000003</v>
      </c>
      <c r="V231" s="305">
        <v>0.25</v>
      </c>
      <c r="W231" s="305">
        <v>0.26</v>
      </c>
      <c r="X231" s="305">
        <v>0.26</v>
      </c>
      <c r="Y231" s="305" vm="426">
        <f t="shared" si="147"/>
        <v>0.24897900934286077</v>
      </c>
      <c r="Z231" s="305"/>
      <c r="AB231" s="305" vm="99">
        <v>0.30649670284200198</v>
      </c>
      <c r="AC231" s="305" vm="385">
        <v>0.2571023614259581</v>
      </c>
      <c r="AD231" s="305" vm="265">
        <v>0.23254502942224883</v>
      </c>
      <c r="AE231" s="305" vm="426">
        <v>0.24897900934286077</v>
      </c>
      <c r="AF231" s="305" vm="570">
        <v>0.31167798326884799</v>
      </c>
      <c r="AG231" s="305"/>
      <c r="AH231" s="305"/>
      <c r="AI231" s="305"/>
      <c r="AK231"/>
      <c r="AL231"/>
      <c r="AM231"/>
      <c r="AN231"/>
      <c r="AO231" s="305"/>
      <c r="AP231" s="305"/>
      <c r="AQ231" s="305"/>
      <c r="AR231" s="305"/>
    </row>
    <row r="232" spans="1:44" ht="15" customHeight="1" x14ac:dyDescent="0.25">
      <c r="B232" s="130" t="s">
        <v>51</v>
      </c>
      <c r="C232" s="130"/>
      <c r="D232" s="130"/>
      <c r="E232" s="130"/>
      <c r="F232" s="130"/>
      <c r="G232" s="130"/>
      <c r="H232" s="130"/>
      <c r="I232" s="130"/>
      <c r="J232" s="130"/>
      <c r="K232" s="130"/>
      <c r="L232" s="305">
        <v>0.28999999999999998</v>
      </c>
      <c r="M232" s="305">
        <v>0.27</v>
      </c>
      <c r="N232" s="305">
        <v>0.27</v>
      </c>
      <c r="O232" s="305">
        <v>0.28999999999999998</v>
      </c>
      <c r="P232" s="305">
        <v>0.3</v>
      </c>
      <c r="Q232" s="305">
        <v>0.27</v>
      </c>
      <c r="R232" s="305">
        <v>0.28000000000000003</v>
      </c>
      <c r="S232" s="305">
        <v>0.27</v>
      </c>
      <c r="T232" s="305">
        <v>0.27</v>
      </c>
      <c r="U232" s="305">
        <v>0.28999999999999998</v>
      </c>
      <c r="V232" s="305">
        <v>0.26</v>
      </c>
      <c r="W232" s="305">
        <v>0.28000000000000003</v>
      </c>
      <c r="X232" s="305">
        <v>0.27</v>
      </c>
      <c r="Y232" s="305" vm="427">
        <f t="shared" si="147"/>
        <v>0.26889546935343944</v>
      </c>
      <c r="Z232" s="305"/>
      <c r="AB232" s="305" vm="100">
        <v>0.2978303253647791</v>
      </c>
      <c r="AC232" s="305" vm="150">
        <v>0.26523761691727088</v>
      </c>
      <c r="AD232" s="305" vm="266">
        <v>0.26214824691524269</v>
      </c>
      <c r="AE232" s="305" vm="427">
        <v>0.26889546935343944</v>
      </c>
      <c r="AF232" s="305" vm="621">
        <v>0.34214525115606986</v>
      </c>
      <c r="AG232" s="305"/>
      <c r="AH232" s="305"/>
      <c r="AI232" s="305"/>
      <c r="AK232"/>
      <c r="AL232"/>
      <c r="AM232"/>
      <c r="AN232"/>
      <c r="AO232" s="305"/>
      <c r="AP232" s="305"/>
      <c r="AQ232" s="305"/>
      <c r="AR232" s="305"/>
    </row>
    <row r="233" spans="1:44" ht="15" customHeight="1" x14ac:dyDescent="0.25">
      <c r="B233" s="130" t="s">
        <v>52</v>
      </c>
      <c r="C233" s="130"/>
      <c r="D233" s="130"/>
      <c r="E233" s="130"/>
      <c r="F233" s="130"/>
      <c r="G233" s="130"/>
      <c r="H233" s="130"/>
      <c r="I233" s="130"/>
      <c r="J233" s="130"/>
      <c r="K233" s="130"/>
      <c r="L233" s="305">
        <v>0.24</v>
      </c>
      <c r="M233" s="305">
        <v>0.23</v>
      </c>
      <c r="N233" s="305">
        <v>0.24</v>
      </c>
      <c r="O233" s="305">
        <v>0.24</v>
      </c>
      <c r="P233" s="305">
        <v>0.24</v>
      </c>
      <c r="Q233" s="305">
        <v>0.27</v>
      </c>
      <c r="R233" s="305">
        <v>0.25</v>
      </c>
      <c r="S233" s="305">
        <v>0.27</v>
      </c>
      <c r="T233" s="305">
        <v>0.24</v>
      </c>
      <c r="U233" s="305">
        <v>0.26</v>
      </c>
      <c r="V233" s="305">
        <v>0.27</v>
      </c>
      <c r="W233" s="305">
        <v>0.26</v>
      </c>
      <c r="X233" s="305">
        <v>0.26</v>
      </c>
      <c r="Y233" s="305" vm="428">
        <f t="shared" si="147"/>
        <v>0.27684280734801137</v>
      </c>
      <c r="Z233" s="305"/>
      <c r="AB233" s="305" vm="101">
        <v>0.35820821394623487</v>
      </c>
      <c r="AC233" s="305" vm="386">
        <v>0.28394332476575135</v>
      </c>
      <c r="AD233" s="305" vm="266">
        <v>0.25591054265185953</v>
      </c>
      <c r="AE233" s="305" vm="428">
        <v>0.27684280734801137</v>
      </c>
      <c r="AF233" s="305" vm="575">
        <v>0.34009686675498563</v>
      </c>
      <c r="AG233" s="305"/>
      <c r="AH233" s="305"/>
      <c r="AI233" s="305"/>
      <c r="AK233"/>
      <c r="AL233"/>
      <c r="AM233"/>
      <c r="AN233"/>
      <c r="AO233" s="305"/>
      <c r="AP233" s="305"/>
      <c r="AQ233" s="305"/>
      <c r="AR233" s="305"/>
    </row>
    <row r="234" spans="1:44" ht="15" customHeight="1" outlineLevel="1" x14ac:dyDescent="0.25">
      <c r="B234" s="148" t="s">
        <v>466</v>
      </c>
      <c r="C234" s="148"/>
      <c r="D234" s="148"/>
      <c r="E234" s="148"/>
      <c r="F234" s="148"/>
      <c r="G234" s="148"/>
      <c r="H234" s="148"/>
      <c r="I234" s="148"/>
      <c r="J234" s="148"/>
      <c r="K234" s="148"/>
      <c r="L234" s="330">
        <v>0.23</v>
      </c>
      <c r="M234" s="330">
        <v>0.23</v>
      </c>
      <c r="N234" s="330">
        <v>0.26</v>
      </c>
      <c r="O234" s="330">
        <v>0.25</v>
      </c>
      <c r="P234" s="330">
        <v>0.24</v>
      </c>
      <c r="Q234" s="330">
        <v>0.26</v>
      </c>
      <c r="R234" s="330">
        <v>0.23</v>
      </c>
      <c r="S234" s="330">
        <v>0.23</v>
      </c>
      <c r="T234" s="330">
        <v>0.23</v>
      </c>
      <c r="U234" s="330">
        <v>0.22</v>
      </c>
      <c r="V234" s="330">
        <v>0.31</v>
      </c>
      <c r="W234" s="330">
        <v>0.24</v>
      </c>
      <c r="X234" s="330">
        <v>0.24</v>
      </c>
      <c r="Y234" s="330" vm="432">
        <f t="shared" si="147"/>
        <v>0.27514704396570933</v>
      </c>
      <c r="Z234" s="330"/>
      <c r="AB234" s="330" vm="62">
        <v>0.36441169104291177</v>
      </c>
      <c r="AC234" s="330" vm="386">
        <v>0.28394332476575135</v>
      </c>
      <c r="AD234" s="330" vm="251">
        <v>0.25591054265185953</v>
      </c>
      <c r="AE234" s="330" vm="432">
        <v>0.27514704396570933</v>
      </c>
      <c r="AF234" s="330" vm="587">
        <v>0.31376997271925283</v>
      </c>
      <c r="AG234" s="330"/>
      <c r="AH234" s="330"/>
      <c r="AI234" s="330"/>
      <c r="AK234"/>
      <c r="AL234"/>
      <c r="AM234"/>
      <c r="AN234"/>
      <c r="AO234" s="330"/>
      <c r="AP234" s="330"/>
      <c r="AQ234" s="330"/>
      <c r="AR234" s="330"/>
    </row>
    <row r="235" spans="1:44" ht="15" customHeight="1" outlineLevel="1" x14ac:dyDescent="0.25">
      <c r="B235" s="148" t="s">
        <v>58</v>
      </c>
      <c r="C235" s="148"/>
      <c r="D235" s="148"/>
      <c r="E235" s="148"/>
      <c r="F235" s="148"/>
      <c r="G235" s="148"/>
      <c r="H235" s="148"/>
      <c r="I235" s="148"/>
      <c r="J235" s="148"/>
      <c r="K235" s="148"/>
      <c r="L235" s="330">
        <v>0.23</v>
      </c>
      <c r="M235" s="330">
        <v>0.23</v>
      </c>
      <c r="N235" s="330">
        <v>0.25</v>
      </c>
      <c r="O235" s="330">
        <v>0.23</v>
      </c>
      <c r="P235" s="330">
        <v>0.22</v>
      </c>
      <c r="Q235" s="330">
        <v>0.25</v>
      </c>
      <c r="R235" s="330">
        <v>0.21</v>
      </c>
      <c r="S235" s="330">
        <v>0.21</v>
      </c>
      <c r="T235" s="330">
        <v>0.21</v>
      </c>
      <c r="U235" s="330">
        <v>0.22</v>
      </c>
      <c r="V235" s="330" t="s">
        <v>17</v>
      </c>
      <c r="W235" s="330">
        <v>0.28999999999999998</v>
      </c>
      <c r="X235" s="330">
        <v>0.27</v>
      </c>
      <c r="Y235" s="330" vm="487">
        <f t="shared" si="147"/>
        <v>0.33570128139269412</v>
      </c>
      <c r="Z235" s="330"/>
      <c r="AB235" s="330" vm="115">
        <v>0.43651643518518524</v>
      </c>
      <c r="AC235" s="330" vm="390">
        <v>0.28156077179601469</v>
      </c>
      <c r="AD235" s="330" vm="268">
        <v>0.23731173657323484</v>
      </c>
      <c r="AE235" s="330" vm="487">
        <v>0.33570128139269412</v>
      </c>
      <c r="AF235" s="330" vm="578">
        <v>0.44624576923076925</v>
      </c>
      <c r="AG235" s="330"/>
      <c r="AH235" s="330"/>
      <c r="AI235" s="330"/>
      <c r="AK235"/>
      <c r="AL235"/>
      <c r="AM235"/>
      <c r="AN235"/>
      <c r="AO235" s="330"/>
      <c r="AP235" s="330"/>
      <c r="AQ235" s="330"/>
      <c r="AR235" s="330"/>
    </row>
    <row r="236" spans="1:44" ht="15" customHeight="1" outlineLevel="1" x14ac:dyDescent="0.25">
      <c r="B236" s="148" t="s">
        <v>467</v>
      </c>
      <c r="C236" s="148"/>
      <c r="D236" s="148"/>
      <c r="E236" s="148"/>
      <c r="F236" s="148"/>
      <c r="G236" s="148"/>
      <c r="H236" s="148"/>
      <c r="I236" s="148"/>
      <c r="J236" s="148"/>
      <c r="K236" s="148"/>
      <c r="L236" s="330">
        <v>0.27</v>
      </c>
      <c r="M236" s="330">
        <v>0.27</v>
      </c>
      <c r="N236" s="330">
        <v>0.26</v>
      </c>
      <c r="O236" s="330">
        <v>0.24</v>
      </c>
      <c r="P236" s="330">
        <v>0.24</v>
      </c>
      <c r="Q236" s="330">
        <v>0.28000000000000003</v>
      </c>
      <c r="R236" s="330">
        <v>0.25</v>
      </c>
      <c r="S236" s="330">
        <v>0.3</v>
      </c>
      <c r="T236" s="330">
        <v>0.25</v>
      </c>
      <c r="U236" s="330">
        <v>0.3</v>
      </c>
      <c r="V236" s="330">
        <v>0.28999999999999998</v>
      </c>
      <c r="W236" s="330">
        <v>0.27</v>
      </c>
      <c r="X236" s="330">
        <v>0.28000000000000003</v>
      </c>
      <c r="Y236" s="330" vm="429">
        <f t="shared" si="147"/>
        <v>0.28459147443554478</v>
      </c>
      <c r="Z236" s="330"/>
      <c r="AB236" s="330" vm="116">
        <v>0.37981002765145455</v>
      </c>
      <c r="AC236" s="330" vm="391">
        <v>0.32365478821362798</v>
      </c>
      <c r="AD236" s="330" vm="310">
        <v>0.29022717109279611</v>
      </c>
      <c r="AE236" s="330" vm="429">
        <v>0.28459147443554478</v>
      </c>
      <c r="AF236" s="330" vm="588">
        <v>0.39109433737287658</v>
      </c>
      <c r="AG236" s="330"/>
      <c r="AH236" s="330"/>
      <c r="AI236" s="330"/>
      <c r="AK236"/>
      <c r="AL236"/>
      <c r="AM236"/>
      <c r="AN236"/>
      <c r="AO236" s="330"/>
      <c r="AP236" s="330"/>
      <c r="AQ236" s="330"/>
      <c r="AR236" s="330"/>
    </row>
    <row r="237" spans="1:44" ht="15" customHeight="1" outlineLevel="1" x14ac:dyDescent="0.25">
      <c r="B237" s="148" t="s">
        <v>468</v>
      </c>
      <c r="C237" s="148"/>
      <c r="D237" s="148"/>
      <c r="E237" s="148"/>
      <c r="F237" s="148"/>
      <c r="G237" s="148"/>
      <c r="H237" s="148"/>
      <c r="I237" s="148"/>
      <c r="J237" s="148"/>
      <c r="K237" s="148"/>
      <c r="L237" s="330" t="s">
        <v>17</v>
      </c>
      <c r="M237" s="330">
        <v>0.16</v>
      </c>
      <c r="N237" s="330">
        <v>0.21</v>
      </c>
      <c r="O237" s="330">
        <v>0.24</v>
      </c>
      <c r="P237" s="330">
        <v>0.22</v>
      </c>
      <c r="Q237" s="330">
        <v>0.26</v>
      </c>
      <c r="R237" s="330">
        <v>0.25</v>
      </c>
      <c r="S237" s="330">
        <v>0.28000000000000003</v>
      </c>
      <c r="T237" s="330">
        <v>0.23</v>
      </c>
      <c r="U237" s="330">
        <v>0.25</v>
      </c>
      <c r="V237" s="330">
        <v>0.26</v>
      </c>
      <c r="W237" s="330">
        <v>0.24</v>
      </c>
      <c r="X237" s="330">
        <v>0.26</v>
      </c>
      <c r="Y237" s="330" vm="551">
        <f t="shared" si="147"/>
        <v>0.28110351829514257</v>
      </c>
      <c r="Z237" s="330"/>
      <c r="AB237" s="330" vm="117">
        <v>0.35332915283229832</v>
      </c>
      <c r="AC237" s="330" vm="389">
        <v>0.29266479054324307</v>
      </c>
      <c r="AD237" s="330" vm="269">
        <v>0.2543184135837846</v>
      </c>
      <c r="AE237" s="330" vm="551">
        <v>0.28110351829514257</v>
      </c>
      <c r="AF237" s="330" vm="589">
        <v>0.32104640578040505</v>
      </c>
      <c r="AG237" s="330"/>
      <c r="AH237" s="330"/>
      <c r="AI237" s="330"/>
      <c r="AK237"/>
      <c r="AL237"/>
      <c r="AM237"/>
      <c r="AN237"/>
      <c r="AO237" s="330"/>
      <c r="AP237" s="330"/>
      <c r="AQ237" s="330"/>
      <c r="AR237" s="330"/>
    </row>
    <row r="238" spans="1:44" ht="15" customHeight="1" outlineLevel="1" x14ac:dyDescent="0.25">
      <c r="B238" s="148" t="s">
        <v>469</v>
      </c>
      <c r="C238" s="148"/>
      <c r="D238" s="148"/>
      <c r="E238" s="148"/>
      <c r="F238" s="148"/>
      <c r="G238" s="148"/>
      <c r="H238" s="148"/>
      <c r="I238" s="148"/>
      <c r="J238" s="148"/>
      <c r="K238" s="148"/>
      <c r="L238" s="330" t="s">
        <v>17</v>
      </c>
      <c r="M238" s="330" t="s">
        <v>17</v>
      </c>
      <c r="N238" s="330">
        <v>0</v>
      </c>
      <c r="O238" s="330">
        <v>0.25</v>
      </c>
      <c r="P238" s="330">
        <v>0.26</v>
      </c>
      <c r="Q238" s="330">
        <v>0.28000000000000003</v>
      </c>
      <c r="R238" s="330">
        <v>0.28000000000000003</v>
      </c>
      <c r="S238" s="330">
        <v>0.27</v>
      </c>
      <c r="T238" s="330">
        <v>0.27</v>
      </c>
      <c r="U238" s="330">
        <v>0.27</v>
      </c>
      <c r="V238" s="330">
        <v>0.25</v>
      </c>
      <c r="W238" s="330">
        <v>0.26</v>
      </c>
      <c r="X238" s="330">
        <v>0.25</v>
      </c>
      <c r="Y238" s="330" vm="433">
        <f t="shared" si="147"/>
        <v>0.25839302098177536</v>
      </c>
      <c r="Z238" s="330"/>
      <c r="AB238" s="330" vm="110">
        <v>0.31977317344440515</v>
      </c>
      <c r="AC238" s="330" vm="162">
        <v>0.28910065652549644</v>
      </c>
      <c r="AD238" s="330" vm="311">
        <v>0.26956493124157538</v>
      </c>
      <c r="AE238" s="330" vm="433">
        <v>0.25839302098177536</v>
      </c>
      <c r="AF238" s="330" vm="590">
        <v>0.31422024171014162</v>
      </c>
      <c r="AG238" s="330"/>
      <c r="AH238" s="330"/>
      <c r="AI238" s="330"/>
      <c r="AK238"/>
      <c r="AL238"/>
      <c r="AM238"/>
      <c r="AN238"/>
      <c r="AO238" s="330"/>
      <c r="AP238" s="330"/>
      <c r="AQ238" s="330"/>
      <c r="AR238" s="330"/>
    </row>
    <row r="239" spans="1:44" ht="15" customHeight="1" outlineLevel="1" x14ac:dyDescent="0.25">
      <c r="B239" s="148" t="s">
        <v>254</v>
      </c>
      <c r="C239" s="148"/>
      <c r="D239" s="148"/>
      <c r="E239" s="148"/>
      <c r="F239" s="148"/>
      <c r="G239" s="148"/>
      <c r="H239" s="148"/>
      <c r="I239" s="148"/>
      <c r="J239" s="148"/>
      <c r="K239" s="148"/>
      <c r="L239" s="330">
        <v>0</v>
      </c>
      <c r="M239" s="330">
        <v>0</v>
      </c>
      <c r="N239" s="330">
        <v>0</v>
      </c>
      <c r="O239" s="330">
        <v>0</v>
      </c>
      <c r="P239" s="330">
        <v>0</v>
      </c>
      <c r="Q239" s="330">
        <v>0</v>
      </c>
      <c r="R239" s="330">
        <v>0</v>
      </c>
      <c r="S239" s="330">
        <v>0</v>
      </c>
      <c r="T239" s="330">
        <v>0</v>
      </c>
      <c r="U239" s="330">
        <v>0</v>
      </c>
      <c r="V239" s="330">
        <v>0</v>
      </c>
      <c r="W239" s="330">
        <v>0.23</v>
      </c>
      <c r="X239" s="330">
        <v>0.24</v>
      </c>
      <c r="Y239" s="330">
        <f t="shared" si="147"/>
        <v>0.21490950962874722</v>
      </c>
      <c r="Z239" s="330"/>
      <c r="AB239" s="330">
        <v>0.28539292069243161</v>
      </c>
      <c r="AC239" s="330" vm="393">
        <v>0.21827403521261179</v>
      </c>
      <c r="AD239" s="330" vm="313">
        <v>0.23904617231507991</v>
      </c>
      <c r="AE239" s="330">
        <v>0.21490950962874722</v>
      </c>
      <c r="AF239" s="330" vm="592">
        <v>0.21837175505653766</v>
      </c>
      <c r="AG239" s="330"/>
      <c r="AH239" s="330"/>
      <c r="AI239" s="330"/>
      <c r="AK239"/>
      <c r="AL239"/>
      <c r="AM239"/>
      <c r="AN239"/>
      <c r="AO239" s="330"/>
      <c r="AP239" s="330"/>
      <c r="AQ239" s="330"/>
      <c r="AR239" s="330"/>
    </row>
    <row r="240" spans="1:44" ht="15" customHeight="1" outlineLevel="1" x14ac:dyDescent="0.25">
      <c r="B240" s="148" t="s">
        <v>470</v>
      </c>
      <c r="C240" s="148"/>
      <c r="D240" s="148"/>
      <c r="E240" s="148"/>
      <c r="F240" s="148"/>
      <c r="G240" s="148"/>
      <c r="H240" s="148"/>
      <c r="I240" s="148"/>
      <c r="J240" s="148"/>
      <c r="K240" s="148"/>
      <c r="L240" s="330">
        <v>0</v>
      </c>
      <c r="M240" s="330">
        <v>0</v>
      </c>
      <c r="N240" s="330">
        <v>0</v>
      </c>
      <c r="O240" s="330">
        <v>0</v>
      </c>
      <c r="P240" s="330">
        <v>0</v>
      </c>
      <c r="Q240" s="330">
        <v>0</v>
      </c>
      <c r="R240" s="330">
        <v>0</v>
      </c>
      <c r="S240" s="330">
        <v>0</v>
      </c>
      <c r="T240" s="330">
        <v>0</v>
      </c>
      <c r="U240" s="330">
        <v>0</v>
      </c>
      <c r="V240" s="330">
        <v>0</v>
      </c>
      <c r="W240" s="330">
        <v>0.2</v>
      </c>
      <c r="X240" s="330">
        <v>0.24</v>
      </c>
      <c r="Y240" s="330" vm="552">
        <f t="shared" si="147"/>
        <v>0.22466561784531164</v>
      </c>
      <c r="Z240" s="330"/>
      <c r="AB240" s="330" vm="110">
        <v>0.26089958501919286</v>
      </c>
      <c r="AC240" s="330" vm="392">
        <v>0.2626727690913781</v>
      </c>
      <c r="AD240" s="330" vm="312">
        <v>0.24780356052858937</v>
      </c>
      <c r="AE240" s="330" vm="552">
        <v>0.22466561784531164</v>
      </c>
      <c r="AF240" s="330" vm="591">
        <v>0.25023125147494896</v>
      </c>
      <c r="AG240" s="330"/>
      <c r="AH240" s="330"/>
      <c r="AI240" s="330"/>
      <c r="AK240"/>
      <c r="AL240"/>
      <c r="AM240"/>
      <c r="AN240"/>
      <c r="AO240" s="330"/>
      <c r="AP240" s="330"/>
      <c r="AQ240" s="330"/>
      <c r="AR240" s="330"/>
    </row>
    <row r="241" spans="2:44" ht="15" customHeight="1" x14ac:dyDescent="0.25">
      <c r="B241" s="130"/>
      <c r="C241" s="130"/>
      <c r="D241" s="130"/>
      <c r="E241" s="130"/>
      <c r="F241" s="130"/>
      <c r="G241" s="130"/>
      <c r="H241" s="130"/>
      <c r="I241" s="130"/>
      <c r="J241" s="130"/>
      <c r="K241" s="130"/>
      <c r="L241" s="310"/>
      <c r="M241" s="310"/>
      <c r="N241" s="310"/>
      <c r="O241" s="310"/>
      <c r="P241" s="310"/>
      <c r="Q241" s="310"/>
      <c r="R241" s="310"/>
      <c r="S241" s="310"/>
      <c r="T241" s="310"/>
      <c r="U241" s="310"/>
      <c r="V241" s="310"/>
      <c r="W241" s="310"/>
      <c r="X241" s="310"/>
      <c r="Y241" s="310"/>
      <c r="Z241" s="310"/>
      <c r="AB241" s="310"/>
      <c r="AC241" s="310"/>
      <c r="AD241" s="310"/>
      <c r="AE241" s="310"/>
      <c r="AF241" s="310"/>
      <c r="AK241" s="310"/>
      <c r="AL241" s="310"/>
      <c r="AM241" s="310"/>
      <c r="AN241" s="310"/>
      <c r="AO241" s="310"/>
      <c r="AP241" s="310"/>
      <c r="AQ241" s="310"/>
      <c r="AR241" s="310"/>
    </row>
    <row r="242" spans="2:44" ht="15" customHeight="1" x14ac:dyDescent="0.25">
      <c r="B242" s="39" t="s">
        <v>246</v>
      </c>
      <c r="C242" s="39"/>
      <c r="D242" s="39"/>
      <c r="E242" s="39"/>
      <c r="F242" s="39"/>
      <c r="G242" s="39"/>
      <c r="H242" s="39"/>
      <c r="I242" s="39"/>
      <c r="J242" s="39"/>
      <c r="K242" s="39"/>
      <c r="L242" s="301">
        <v>6631.63</v>
      </c>
      <c r="M242" s="301">
        <v>7300.52</v>
      </c>
      <c r="N242" s="301">
        <v>8276.75</v>
      </c>
      <c r="O242" s="301">
        <v>9187.3799999999992</v>
      </c>
      <c r="P242" s="301">
        <v>9323.23</v>
      </c>
      <c r="Q242" s="301">
        <v>10062.36</v>
      </c>
      <c r="R242" s="301">
        <v>11230.34</v>
      </c>
      <c r="S242" s="301">
        <v>11668.9</v>
      </c>
      <c r="T242" s="301">
        <v>11479.93</v>
      </c>
      <c r="U242" s="301">
        <v>11790.81</v>
      </c>
      <c r="V242" s="301">
        <v>10024.1</v>
      </c>
      <c r="W242" s="301">
        <v>11356.45</v>
      </c>
      <c r="X242" s="301">
        <v>11778.25</v>
      </c>
      <c r="Y242" s="301">
        <f t="shared" ref="Y242:Y256" si="148">AE242</f>
        <v>11619.045380280855</v>
      </c>
      <c r="Z242" s="301"/>
      <c r="AB242" s="301">
        <v>3465.7206662447074</v>
      </c>
      <c r="AC242" s="301">
        <v>5867.0861628422963</v>
      </c>
      <c r="AD242" s="301">
        <v>8258.5559363175271</v>
      </c>
      <c r="AE242" s="301">
        <v>11619.045380280855</v>
      </c>
      <c r="AF242" s="301">
        <v>3579.9026200000012</v>
      </c>
      <c r="AG242" s="301"/>
      <c r="AH242" s="301"/>
      <c r="AI242" s="301"/>
      <c r="AK242" s="301">
        <f t="shared" ref="AK242:AK256" si="149">AB242</f>
        <v>3465.7206662447074</v>
      </c>
      <c r="AL242" s="301">
        <f t="shared" ref="AL242:AL256" si="150">AC242-AB242</f>
        <v>2401.3654965975888</v>
      </c>
      <c r="AM242" s="301">
        <f t="shared" ref="AM242:AM256" si="151">AD242-AC242</f>
        <v>2391.4697734752308</v>
      </c>
      <c r="AN242" s="301">
        <f t="shared" ref="AN242:AN256" si="152">AE242-AD242</f>
        <v>3360.4894439633281</v>
      </c>
      <c r="AO242" s="301">
        <f t="shared" ref="AO242:AO256" si="153">AF242</f>
        <v>3579.9026200000012</v>
      </c>
      <c r="AP242" s="260"/>
      <c r="AQ242" s="260"/>
      <c r="AR242" s="260"/>
    </row>
    <row r="243" spans="2:44" ht="15" customHeight="1" x14ac:dyDescent="0.25">
      <c r="B243" s="130" t="s">
        <v>50</v>
      </c>
      <c r="C243" s="130"/>
      <c r="D243" s="130"/>
      <c r="E243" s="130"/>
      <c r="F243" s="130"/>
      <c r="G243" s="130"/>
      <c r="H243" s="130"/>
      <c r="I243" s="130"/>
      <c r="J243" s="130"/>
      <c r="K243" s="130"/>
      <c r="L243" s="310">
        <v>4355.3100000000004</v>
      </c>
      <c r="M243" s="310">
        <v>4583.67</v>
      </c>
      <c r="N243" s="310">
        <v>5105.57</v>
      </c>
      <c r="O243" s="310">
        <v>5462.53</v>
      </c>
      <c r="P243" s="310">
        <v>5176.13</v>
      </c>
      <c r="Q243" s="310">
        <v>4846.7</v>
      </c>
      <c r="R243" s="310">
        <v>4926.3599999999997</v>
      </c>
      <c r="S243" s="310">
        <v>5095.41</v>
      </c>
      <c r="T243" s="310">
        <v>5163.88</v>
      </c>
      <c r="U243" s="310">
        <v>5298.3</v>
      </c>
      <c r="V243" s="310">
        <v>4346.1499999999996</v>
      </c>
      <c r="W243" s="310">
        <v>4979.04</v>
      </c>
      <c r="X243" s="310">
        <v>4885.12</v>
      </c>
      <c r="Y243" s="310">
        <f t="shared" si="148"/>
        <v>4490.9207105706701</v>
      </c>
      <c r="Z243" s="310"/>
      <c r="AB243" s="310">
        <v>1373.5500435826903</v>
      </c>
      <c r="AC243" s="310">
        <v>2353.6244400946898</v>
      </c>
      <c r="AD243" s="310">
        <v>3196.0912528126901</v>
      </c>
      <c r="AE243" s="310">
        <v>4490.9207105706701</v>
      </c>
      <c r="AF243" s="310">
        <v>1324.52252</v>
      </c>
      <c r="AG243" s="310"/>
      <c r="AH243" s="310"/>
      <c r="AI243" s="310"/>
      <c r="AK243" s="310">
        <f t="shared" si="149"/>
        <v>1373.5500435826903</v>
      </c>
      <c r="AL243" s="310">
        <f t="shared" si="150"/>
        <v>980.07439651199957</v>
      </c>
      <c r="AM243" s="310">
        <f t="shared" si="151"/>
        <v>842.46681271800026</v>
      </c>
      <c r="AN243" s="310">
        <f t="shared" si="152"/>
        <v>1294.82945775798</v>
      </c>
      <c r="AO243" s="310">
        <f t="shared" si="153"/>
        <v>1324.52252</v>
      </c>
      <c r="AP243" s="310"/>
      <c r="AQ243" s="310"/>
      <c r="AR243" s="310"/>
    </row>
    <row r="244" spans="2:44" ht="15" customHeight="1" outlineLevel="1" x14ac:dyDescent="0.25">
      <c r="B244" s="148" t="s">
        <v>471</v>
      </c>
      <c r="C244" s="148"/>
      <c r="D244" s="148"/>
      <c r="E244" s="148"/>
      <c r="F244" s="148"/>
      <c r="G244" s="148"/>
      <c r="H244" s="148"/>
      <c r="I244" s="148"/>
      <c r="J244" s="148"/>
      <c r="K244" s="148"/>
      <c r="L244" s="309" t="s">
        <v>17</v>
      </c>
      <c r="M244" s="309" t="s">
        <v>17</v>
      </c>
      <c r="N244" s="309" t="s">
        <v>17</v>
      </c>
      <c r="O244" s="309" t="s">
        <v>17</v>
      </c>
      <c r="P244" s="309">
        <v>4746.88</v>
      </c>
      <c r="Q244" s="309">
        <v>4437.8500000000004</v>
      </c>
      <c r="R244" s="309">
        <v>4528.46</v>
      </c>
      <c r="S244" s="309">
        <v>4691.7299999999996</v>
      </c>
      <c r="T244" s="309">
        <v>4668.9799999999996</v>
      </c>
      <c r="U244" s="309">
        <v>4478.1899999999996</v>
      </c>
      <c r="V244" s="309">
        <v>3423.31</v>
      </c>
      <c r="W244" s="309">
        <v>3485.28</v>
      </c>
      <c r="X244" s="309">
        <v>2202.42</v>
      </c>
      <c r="Y244" s="309">
        <f t="shared" si="148"/>
        <v>1029.2708211162576</v>
      </c>
      <c r="Z244" s="309"/>
      <c r="AB244" s="309">
        <v>359.88205050330299</v>
      </c>
      <c r="AC244" s="309">
        <v>589.8763984528232</v>
      </c>
      <c r="AD244" s="309">
        <v>770.42974947388859</v>
      </c>
      <c r="AE244" s="309">
        <v>1029.2708211162576</v>
      </c>
      <c r="AF244" s="309">
        <v>271.93883178043671</v>
      </c>
      <c r="AG244" s="309"/>
      <c r="AH244" s="309"/>
      <c r="AI244" s="309"/>
      <c r="AK244" s="309">
        <f t="shared" si="149"/>
        <v>359.88205050330299</v>
      </c>
      <c r="AL244" s="309">
        <f t="shared" si="150"/>
        <v>229.9943479495202</v>
      </c>
      <c r="AM244" s="309">
        <f t="shared" si="151"/>
        <v>180.5533510210654</v>
      </c>
      <c r="AN244" s="309">
        <f t="shared" si="152"/>
        <v>258.841071642369</v>
      </c>
      <c r="AO244" s="309">
        <f t="shared" si="153"/>
        <v>271.93883178043671</v>
      </c>
      <c r="AP244" s="309"/>
      <c r="AQ244" s="309"/>
      <c r="AR244" s="309"/>
    </row>
    <row r="245" spans="2:44" ht="15" customHeight="1" outlineLevel="1" x14ac:dyDescent="0.25">
      <c r="B245" s="149" t="s">
        <v>472</v>
      </c>
      <c r="C245" s="149"/>
      <c r="D245" s="149"/>
      <c r="E245" s="149"/>
      <c r="F245" s="149"/>
      <c r="G245" s="149"/>
      <c r="H245" s="149"/>
      <c r="I245" s="149"/>
      <c r="J245" s="149"/>
      <c r="K245" s="149"/>
      <c r="L245" s="309" t="s">
        <v>17</v>
      </c>
      <c r="M245" s="309" t="s">
        <v>17</v>
      </c>
      <c r="N245" s="309" t="s">
        <v>17</v>
      </c>
      <c r="O245" s="309" t="s">
        <v>17</v>
      </c>
      <c r="P245" s="309">
        <v>4097.07</v>
      </c>
      <c r="Q245" s="309">
        <v>4099.8</v>
      </c>
      <c r="R245" s="309">
        <v>4099.8</v>
      </c>
      <c r="S245" s="309">
        <v>4139.8100000000004</v>
      </c>
      <c r="T245" s="309">
        <v>4204.59</v>
      </c>
      <c r="U245" s="309">
        <v>3857.94</v>
      </c>
      <c r="V245" s="309">
        <v>3418.67</v>
      </c>
      <c r="W245" s="309">
        <v>3404.58</v>
      </c>
      <c r="X245" s="309">
        <v>2204.04</v>
      </c>
      <c r="Y245" s="309">
        <f t="shared" si="148"/>
        <v>1095.8568226379948</v>
      </c>
      <c r="Z245" s="309"/>
      <c r="AB245" s="309">
        <v>365.80854049592023</v>
      </c>
      <c r="AC245" s="309">
        <v>652.34034007099365</v>
      </c>
      <c r="AD245" s="309">
        <v>840.33676190674248</v>
      </c>
      <c r="AE245" s="309">
        <v>1095.8568226379948</v>
      </c>
      <c r="AF245" s="309">
        <v>271.03571958494842</v>
      </c>
      <c r="AG245" s="309"/>
      <c r="AH245" s="309"/>
      <c r="AI245" s="309"/>
      <c r="AK245" s="309">
        <f t="shared" si="149"/>
        <v>365.80854049592023</v>
      </c>
      <c r="AL245" s="309">
        <f t="shared" si="150"/>
        <v>286.53179957507342</v>
      </c>
      <c r="AM245" s="309">
        <f t="shared" si="151"/>
        <v>187.99642183574883</v>
      </c>
      <c r="AN245" s="309">
        <f t="shared" si="152"/>
        <v>255.52006073125233</v>
      </c>
      <c r="AO245" s="309">
        <f t="shared" si="153"/>
        <v>271.03571958494842</v>
      </c>
      <c r="AP245" s="309"/>
      <c r="AQ245" s="309"/>
      <c r="AR245" s="309"/>
    </row>
    <row r="246" spans="2:44" ht="15" customHeight="1" outlineLevel="1" x14ac:dyDescent="0.25">
      <c r="B246" s="149" t="s">
        <v>473</v>
      </c>
      <c r="C246" s="149"/>
      <c r="D246" s="149"/>
      <c r="E246" s="149"/>
      <c r="F246" s="149"/>
      <c r="G246" s="149"/>
      <c r="H246" s="149"/>
      <c r="I246" s="149"/>
      <c r="J246" s="149"/>
      <c r="K246" s="149"/>
      <c r="L246" s="309" t="s">
        <v>17</v>
      </c>
      <c r="M246" s="309" t="s">
        <v>17</v>
      </c>
      <c r="N246" s="309" t="s">
        <v>17</v>
      </c>
      <c r="O246" s="309" t="s">
        <v>17</v>
      </c>
      <c r="P246" s="309">
        <v>649.80999999999995</v>
      </c>
      <c r="Q246" s="309">
        <v>338.05</v>
      </c>
      <c r="R246" s="309">
        <v>428.66</v>
      </c>
      <c r="S246" s="309">
        <v>551.92999999999995</v>
      </c>
      <c r="T246" s="309">
        <v>464.39</v>
      </c>
      <c r="U246" s="309">
        <v>620.25</v>
      </c>
      <c r="V246" s="309">
        <v>4.6399999999999997</v>
      </c>
      <c r="W246" s="309">
        <v>80.7</v>
      </c>
      <c r="X246" s="309">
        <v>-1.62</v>
      </c>
      <c r="Y246" s="309">
        <f t="shared" si="148"/>
        <v>-66.586001521737089</v>
      </c>
      <c r="Z246" s="309"/>
      <c r="AB246" s="309">
        <v>-5.9264899926172294</v>
      </c>
      <c r="AC246" s="309">
        <v>-62.463941618170566</v>
      </c>
      <c r="AD246" s="309">
        <v>-69.907012432853605</v>
      </c>
      <c r="AE246" s="309">
        <v>-66.586001521737089</v>
      </c>
      <c r="AF246" s="309">
        <v>0.9031121954882928</v>
      </c>
      <c r="AG246" s="309"/>
      <c r="AH246" s="309"/>
      <c r="AI246" s="309"/>
      <c r="AK246" s="309">
        <f t="shared" si="149"/>
        <v>-5.9264899926172294</v>
      </c>
      <c r="AL246" s="309">
        <f t="shared" si="150"/>
        <v>-56.537451625553338</v>
      </c>
      <c r="AM246" s="309">
        <f t="shared" si="151"/>
        <v>-7.4430708146830398</v>
      </c>
      <c r="AN246" s="309">
        <f t="shared" si="152"/>
        <v>3.3210109111165167</v>
      </c>
      <c r="AO246" s="309">
        <f t="shared" si="153"/>
        <v>0.9031121954882928</v>
      </c>
      <c r="AP246" s="309"/>
      <c r="AQ246" s="309"/>
      <c r="AR246" s="309"/>
    </row>
    <row r="247" spans="2:44" ht="15" customHeight="1" outlineLevel="1" x14ac:dyDescent="0.25">
      <c r="B247" s="148" t="s">
        <v>474</v>
      </c>
      <c r="C247" s="148"/>
      <c r="D247" s="148"/>
      <c r="E247" s="148"/>
      <c r="F247" s="148"/>
      <c r="G247" s="148"/>
      <c r="H247" s="148"/>
      <c r="I247" s="148"/>
      <c r="J247" s="148"/>
      <c r="K247" s="148"/>
      <c r="L247" s="309" t="s">
        <v>17</v>
      </c>
      <c r="M247" s="309" t="s">
        <v>17</v>
      </c>
      <c r="N247" s="309" t="s">
        <v>17</v>
      </c>
      <c r="O247" s="309" t="s">
        <v>17</v>
      </c>
      <c r="P247" s="309">
        <v>429.25</v>
      </c>
      <c r="Q247" s="309">
        <v>408.85</v>
      </c>
      <c r="R247" s="309">
        <v>397.9</v>
      </c>
      <c r="S247" s="309">
        <v>403.67</v>
      </c>
      <c r="T247" s="309">
        <v>494.9</v>
      </c>
      <c r="U247" s="309">
        <v>820.11</v>
      </c>
      <c r="V247" s="309">
        <v>922.84</v>
      </c>
      <c r="W247" s="309">
        <v>1493.75</v>
      </c>
      <c r="X247" s="309">
        <v>2682.7</v>
      </c>
      <c r="Y247" s="309">
        <f t="shared" si="148"/>
        <v>3461.649898883742</v>
      </c>
      <c r="Z247" s="309"/>
      <c r="AB247" s="309">
        <v>1013.6679694966969</v>
      </c>
      <c r="AC247" s="309">
        <v>1763.7480015471767</v>
      </c>
      <c r="AD247" s="309">
        <v>2425.6615105261112</v>
      </c>
      <c r="AE247" s="309">
        <v>3461.649898883742</v>
      </c>
      <c r="AF247" s="309">
        <v>1052.5836882195633</v>
      </c>
      <c r="AG247" s="309"/>
      <c r="AH247" s="309"/>
      <c r="AI247" s="309"/>
      <c r="AK247" s="309">
        <f t="shared" si="149"/>
        <v>1013.6679694966969</v>
      </c>
      <c r="AL247" s="309">
        <f t="shared" si="150"/>
        <v>750.08003205047987</v>
      </c>
      <c r="AM247" s="309">
        <f t="shared" si="151"/>
        <v>661.91350897893449</v>
      </c>
      <c r="AN247" s="309">
        <f t="shared" si="152"/>
        <v>1035.9883883576308</v>
      </c>
      <c r="AO247" s="309">
        <f t="shared" si="153"/>
        <v>1052.5836882195633</v>
      </c>
      <c r="AP247" s="309"/>
      <c r="AQ247" s="309"/>
      <c r="AR247" s="309"/>
    </row>
    <row r="248" spans="2:44" ht="15" customHeight="1" x14ac:dyDescent="0.25">
      <c r="B248" s="130" t="s">
        <v>51</v>
      </c>
      <c r="C248" s="130"/>
      <c r="D248" s="130"/>
      <c r="E248" s="130"/>
      <c r="F248" s="130"/>
      <c r="G248" s="130"/>
      <c r="H248" s="130"/>
      <c r="I248" s="130"/>
      <c r="J248" s="130"/>
      <c r="K248" s="130"/>
      <c r="L248" s="310">
        <v>1472.25</v>
      </c>
      <c r="M248" s="310">
        <v>1390.53</v>
      </c>
      <c r="N248" s="310">
        <v>1444.08</v>
      </c>
      <c r="O248" s="310">
        <v>1593.17</v>
      </c>
      <c r="P248" s="310">
        <v>1652.09</v>
      </c>
      <c r="Q248" s="310">
        <v>1991.16</v>
      </c>
      <c r="R248" s="310">
        <v>3047.17</v>
      </c>
      <c r="S248" s="310">
        <v>2911.64</v>
      </c>
      <c r="T248" s="310">
        <v>2995.03</v>
      </c>
      <c r="U248" s="310">
        <v>3159.58</v>
      </c>
      <c r="V248" s="310">
        <v>2623.9</v>
      </c>
      <c r="W248" s="310">
        <v>3048.87</v>
      </c>
      <c r="X248" s="310">
        <v>2715.38</v>
      </c>
      <c r="Y248" s="310">
        <f t="shared" si="148"/>
        <v>2700.5261351985</v>
      </c>
      <c r="Z248" s="310"/>
      <c r="AB248" s="310">
        <v>731.49982090600008</v>
      </c>
      <c r="AC248" s="310">
        <v>1306.3782606560001</v>
      </c>
      <c r="AD248" s="310">
        <v>1953.0670471660001</v>
      </c>
      <c r="AE248" s="310">
        <v>2700.5261351985</v>
      </c>
      <c r="AF248" s="310">
        <v>907.78638000000001</v>
      </c>
      <c r="AG248" s="310"/>
      <c r="AH248" s="310"/>
      <c r="AI248" s="310"/>
      <c r="AK248" s="310">
        <f t="shared" si="149"/>
        <v>731.49982090600008</v>
      </c>
      <c r="AL248" s="310">
        <f t="shared" si="150"/>
        <v>574.87843974999998</v>
      </c>
      <c r="AM248" s="310">
        <f t="shared" si="151"/>
        <v>646.68878651</v>
      </c>
      <c r="AN248" s="310">
        <f t="shared" si="152"/>
        <v>747.45908803249995</v>
      </c>
      <c r="AO248" s="310">
        <f t="shared" si="153"/>
        <v>907.78638000000001</v>
      </c>
      <c r="AP248" s="310"/>
      <c r="AQ248" s="310"/>
      <c r="AR248" s="310"/>
    </row>
    <row r="249" spans="2:44" ht="15" customHeight="1" x14ac:dyDescent="0.25">
      <c r="B249" s="130" t="s">
        <v>52</v>
      </c>
      <c r="C249" s="130"/>
      <c r="D249" s="130"/>
      <c r="E249" s="130"/>
      <c r="F249" s="130"/>
      <c r="G249" s="130"/>
      <c r="H249" s="130"/>
      <c r="I249" s="130"/>
      <c r="J249" s="130"/>
      <c r="K249" s="130"/>
      <c r="L249" s="310">
        <v>804.08</v>
      </c>
      <c r="M249" s="310">
        <v>1326.31</v>
      </c>
      <c r="N249" s="310">
        <v>1727.1</v>
      </c>
      <c r="O249" s="310">
        <v>2131.69</v>
      </c>
      <c r="P249" s="310">
        <v>2495.0100000000002</v>
      </c>
      <c r="Q249" s="310">
        <v>3224.51</v>
      </c>
      <c r="R249" s="310">
        <v>3256.81</v>
      </c>
      <c r="S249" s="310">
        <v>3661.85</v>
      </c>
      <c r="T249" s="310">
        <v>3321.02</v>
      </c>
      <c r="U249" s="310">
        <v>3332.93</v>
      </c>
      <c r="V249" s="310">
        <v>3054.05</v>
      </c>
      <c r="W249" s="310">
        <v>3328.54</v>
      </c>
      <c r="X249" s="310">
        <v>4177.75</v>
      </c>
      <c r="Y249" s="310">
        <f t="shared" si="148"/>
        <v>4427.5985345116906</v>
      </c>
      <c r="Z249" s="310"/>
      <c r="AB249" s="310">
        <v>1360.67080175602</v>
      </c>
      <c r="AC249" s="310">
        <v>2207.0834620916098</v>
      </c>
      <c r="AD249" s="310">
        <v>3109.3976363388397</v>
      </c>
      <c r="AE249" s="310">
        <v>4427.5985345116906</v>
      </c>
      <c r="AF249" s="310">
        <v>1347.5937200000001</v>
      </c>
      <c r="AG249" s="310"/>
      <c r="AH249" s="310"/>
      <c r="AI249" s="310"/>
      <c r="AK249" s="310">
        <f t="shared" si="149"/>
        <v>1360.67080175602</v>
      </c>
      <c r="AL249" s="310">
        <f t="shared" si="150"/>
        <v>846.41266033558986</v>
      </c>
      <c r="AM249" s="310">
        <f t="shared" si="151"/>
        <v>902.31417424722986</v>
      </c>
      <c r="AN249" s="310">
        <f t="shared" si="152"/>
        <v>1318.2008981728509</v>
      </c>
      <c r="AO249" s="310">
        <f t="shared" si="153"/>
        <v>1347.5937200000001</v>
      </c>
      <c r="AP249" s="310"/>
      <c r="AQ249" s="310"/>
      <c r="AR249" s="310"/>
    </row>
    <row r="250" spans="2:44" ht="15" customHeight="1" outlineLevel="1" x14ac:dyDescent="0.25">
      <c r="B250" s="148" t="s">
        <v>466</v>
      </c>
      <c r="C250" s="148"/>
      <c r="D250" s="148"/>
      <c r="E250" s="148"/>
      <c r="F250" s="148"/>
      <c r="G250" s="148"/>
      <c r="H250" s="148"/>
      <c r="I250" s="148"/>
      <c r="J250" s="148"/>
      <c r="K250" s="148"/>
      <c r="L250" s="309">
        <v>488.65</v>
      </c>
      <c r="M250" s="309">
        <v>588.66</v>
      </c>
      <c r="N250" s="309">
        <v>692.77</v>
      </c>
      <c r="O250" s="309">
        <v>689.44</v>
      </c>
      <c r="P250" s="309">
        <v>694.63</v>
      </c>
      <c r="Q250" s="309">
        <v>784.94</v>
      </c>
      <c r="R250" s="309">
        <v>776.65</v>
      </c>
      <c r="S250" s="309">
        <v>807.86</v>
      </c>
      <c r="T250" s="309">
        <v>829.18</v>
      </c>
      <c r="U250" s="309">
        <v>465</v>
      </c>
      <c r="V250" s="309">
        <v>212.05</v>
      </c>
      <c r="W250" s="309">
        <v>313.81</v>
      </c>
      <c r="X250" s="309">
        <v>411.45</v>
      </c>
      <c r="Y250" s="309">
        <f t="shared" si="148"/>
        <v>524.71997937383003</v>
      </c>
      <c r="Z250" s="309"/>
      <c r="AB250" s="309">
        <v>165.73786925331999</v>
      </c>
      <c r="AC250" s="309">
        <v>258.96442799331999</v>
      </c>
      <c r="AD250" s="309">
        <v>336.50668105331999</v>
      </c>
      <c r="AE250" s="309">
        <v>524.71997937383003</v>
      </c>
      <c r="AF250" s="309">
        <v>165.98116000000005</v>
      </c>
      <c r="AG250" s="309"/>
      <c r="AH250" s="309"/>
      <c r="AI250" s="309"/>
      <c r="AK250" s="309">
        <f t="shared" si="149"/>
        <v>165.73786925331999</v>
      </c>
      <c r="AL250" s="309">
        <f t="shared" si="150"/>
        <v>93.226558740000002</v>
      </c>
      <c r="AM250" s="309">
        <f t="shared" si="151"/>
        <v>77.542253060000007</v>
      </c>
      <c r="AN250" s="309">
        <f t="shared" si="152"/>
        <v>188.21329832051003</v>
      </c>
      <c r="AO250" s="309">
        <f t="shared" si="153"/>
        <v>165.98116000000005</v>
      </c>
      <c r="AP250" s="309"/>
      <c r="AQ250" s="309"/>
      <c r="AR250" s="309"/>
    </row>
    <row r="251" spans="2:44" ht="15" customHeight="1" outlineLevel="1" x14ac:dyDescent="0.25">
      <c r="B251" s="148" t="s">
        <v>58</v>
      </c>
      <c r="C251" s="148"/>
      <c r="D251" s="148"/>
      <c r="E251" s="148"/>
      <c r="F251" s="148"/>
      <c r="G251" s="148"/>
      <c r="H251" s="148"/>
      <c r="I251" s="148"/>
      <c r="J251" s="148"/>
      <c r="K251" s="148"/>
      <c r="L251" s="309">
        <v>106.58</v>
      </c>
      <c r="M251" s="309">
        <v>116.68</v>
      </c>
      <c r="N251" s="309">
        <v>122.78</v>
      </c>
      <c r="O251" s="309">
        <v>116.16</v>
      </c>
      <c r="P251" s="309">
        <v>129.22999999999999</v>
      </c>
      <c r="Q251" s="309">
        <v>152.28</v>
      </c>
      <c r="R251" s="309">
        <v>127.84</v>
      </c>
      <c r="S251" s="309">
        <v>128.88999999999999</v>
      </c>
      <c r="T251" s="309">
        <v>128.91</v>
      </c>
      <c r="U251" s="309">
        <v>68.459999999999994</v>
      </c>
      <c r="V251" s="309">
        <v>2.2599999999999998</v>
      </c>
      <c r="W251" s="309">
        <v>21.65</v>
      </c>
      <c r="X251" s="309">
        <v>23.6</v>
      </c>
      <c r="Y251" s="309">
        <f t="shared" si="148"/>
        <v>29.159302800000003</v>
      </c>
      <c r="Z251" s="309"/>
      <c r="AB251" s="309">
        <v>9.3429493249999993</v>
      </c>
      <c r="AC251" s="309">
        <v>13.9453285</v>
      </c>
      <c r="AD251" s="309">
        <v>18.875281475000001</v>
      </c>
      <c r="AE251" s="309">
        <v>29.159302800000003</v>
      </c>
      <c r="AF251" s="309">
        <v>9.6770499999999995</v>
      </c>
      <c r="AG251" s="309"/>
      <c r="AH251" s="309"/>
      <c r="AI251" s="309"/>
      <c r="AK251" s="309">
        <f t="shared" si="149"/>
        <v>9.3429493249999993</v>
      </c>
      <c r="AL251" s="309">
        <f t="shared" si="150"/>
        <v>4.6023791750000012</v>
      </c>
      <c r="AM251" s="309">
        <f t="shared" si="151"/>
        <v>4.9299529750000008</v>
      </c>
      <c r="AN251" s="309">
        <f t="shared" si="152"/>
        <v>10.284021325000001</v>
      </c>
      <c r="AO251" s="309">
        <f t="shared" si="153"/>
        <v>9.6770499999999995</v>
      </c>
      <c r="AP251" s="309"/>
      <c r="AQ251" s="309"/>
      <c r="AR251" s="309"/>
    </row>
    <row r="252" spans="2:44" ht="15" customHeight="1" outlineLevel="1" x14ac:dyDescent="0.25">
      <c r="B252" s="148" t="s">
        <v>467</v>
      </c>
      <c r="C252" s="148"/>
      <c r="D252" s="148"/>
      <c r="E252" s="148"/>
      <c r="F252" s="148"/>
      <c r="G252" s="148"/>
      <c r="H252" s="148"/>
      <c r="I252" s="148"/>
      <c r="J252" s="148"/>
      <c r="K252" s="148"/>
      <c r="L252" s="309">
        <v>193.82</v>
      </c>
      <c r="M252" s="309">
        <v>376.2</v>
      </c>
      <c r="N252" s="309">
        <v>435.14</v>
      </c>
      <c r="O252" s="309">
        <v>540.63</v>
      </c>
      <c r="P252" s="309">
        <v>793.17</v>
      </c>
      <c r="Q252" s="309">
        <v>950.81</v>
      </c>
      <c r="R252" s="309">
        <v>950.75</v>
      </c>
      <c r="S252" s="309">
        <v>1093.4100000000001</v>
      </c>
      <c r="T252" s="309">
        <v>918.99</v>
      </c>
      <c r="U252" s="309">
        <v>1098</v>
      </c>
      <c r="V252" s="309">
        <v>1059.08</v>
      </c>
      <c r="W252" s="309">
        <v>1176.31</v>
      </c>
      <c r="X252" s="309">
        <v>1739.38</v>
      </c>
      <c r="Y252" s="309">
        <f t="shared" si="148"/>
        <v>1748.602257</v>
      </c>
      <c r="Z252" s="309"/>
      <c r="AB252" s="309">
        <v>573.97551807000002</v>
      </c>
      <c r="AC252" s="309">
        <v>895.45331224999995</v>
      </c>
      <c r="AD252" s="309">
        <v>1250.46354084</v>
      </c>
      <c r="AE252" s="309">
        <v>1748.602257</v>
      </c>
      <c r="AF252" s="309">
        <v>512.47082999999998</v>
      </c>
      <c r="AG252" s="309"/>
      <c r="AH252" s="309"/>
      <c r="AI252" s="309"/>
      <c r="AK252" s="309">
        <f t="shared" si="149"/>
        <v>573.97551807000002</v>
      </c>
      <c r="AL252" s="309">
        <f t="shared" si="150"/>
        <v>321.47779417999993</v>
      </c>
      <c r="AM252" s="309">
        <f t="shared" si="151"/>
        <v>355.01022859</v>
      </c>
      <c r="AN252" s="309">
        <f t="shared" si="152"/>
        <v>498.13871616000006</v>
      </c>
      <c r="AO252" s="309">
        <f t="shared" si="153"/>
        <v>512.47082999999998</v>
      </c>
      <c r="AP252" s="309"/>
      <c r="AQ252" s="309"/>
      <c r="AR252" s="309"/>
    </row>
    <row r="253" spans="2:44" ht="15" customHeight="1" outlineLevel="1" x14ac:dyDescent="0.25">
      <c r="B253" s="148" t="s">
        <v>468</v>
      </c>
      <c r="C253" s="148"/>
      <c r="D253" s="148"/>
      <c r="E253" s="148"/>
      <c r="F253" s="148"/>
      <c r="G253" s="148"/>
      <c r="H253" s="148"/>
      <c r="I253" s="148"/>
      <c r="J253" s="148"/>
      <c r="K253" s="148"/>
      <c r="L253" s="309">
        <v>15.01</v>
      </c>
      <c r="M253" s="309">
        <v>244.77</v>
      </c>
      <c r="N253" s="309">
        <v>476.4</v>
      </c>
      <c r="O253" s="309">
        <v>702.39</v>
      </c>
      <c r="P253" s="309">
        <v>712.25</v>
      </c>
      <c r="Q253" s="309">
        <v>1126.8599999999999</v>
      </c>
      <c r="R253" s="309">
        <v>1143.28</v>
      </c>
      <c r="S253" s="309">
        <v>1294.74</v>
      </c>
      <c r="T253" s="309">
        <v>1058.67</v>
      </c>
      <c r="U253" s="309">
        <v>1150.52</v>
      </c>
      <c r="V253" s="309">
        <v>1185.55</v>
      </c>
      <c r="W253" s="309">
        <v>1115.77</v>
      </c>
      <c r="X253" s="309">
        <v>1163.17</v>
      </c>
      <c r="Y253" s="309">
        <f t="shared" si="148"/>
        <v>1283.7973049999998</v>
      </c>
      <c r="Z253" s="309"/>
      <c r="AB253" s="309">
        <v>397.80627800000008</v>
      </c>
      <c r="AC253" s="309">
        <v>654.73639600000001</v>
      </c>
      <c r="AD253" s="309">
        <v>920.84070500000018</v>
      </c>
      <c r="AE253" s="309">
        <v>1283.7973049999998</v>
      </c>
      <c r="AF253" s="309">
        <v>365.35397999999998</v>
      </c>
      <c r="AG253" s="309"/>
      <c r="AH253" s="309"/>
      <c r="AI253" s="309"/>
      <c r="AK253" s="309">
        <f t="shared" si="149"/>
        <v>397.80627800000008</v>
      </c>
      <c r="AL253" s="309">
        <f t="shared" si="150"/>
        <v>256.93011799999994</v>
      </c>
      <c r="AM253" s="309">
        <f t="shared" si="151"/>
        <v>266.10430900000017</v>
      </c>
      <c r="AN253" s="309">
        <f t="shared" si="152"/>
        <v>362.95659999999964</v>
      </c>
      <c r="AO253" s="309">
        <f t="shared" si="153"/>
        <v>365.35397999999998</v>
      </c>
      <c r="AP253" s="309"/>
      <c r="AQ253" s="309"/>
      <c r="AR253" s="309"/>
    </row>
    <row r="254" spans="2:44" ht="15" customHeight="1" outlineLevel="1" x14ac:dyDescent="0.25">
      <c r="B254" s="148" t="s">
        <v>469</v>
      </c>
      <c r="C254" s="148"/>
      <c r="D254" s="148"/>
      <c r="E254" s="148"/>
      <c r="F254" s="148"/>
      <c r="G254" s="148"/>
      <c r="H254" s="148"/>
      <c r="I254" s="148"/>
      <c r="J254" s="148"/>
      <c r="K254" s="148"/>
      <c r="L254" s="309" t="s">
        <v>17</v>
      </c>
      <c r="M254" s="309" t="s">
        <v>17</v>
      </c>
      <c r="N254" s="309" t="s">
        <v>17</v>
      </c>
      <c r="O254" s="309">
        <v>83.07</v>
      </c>
      <c r="P254" s="309">
        <v>165.74</v>
      </c>
      <c r="Q254" s="309">
        <v>209.61</v>
      </c>
      <c r="R254" s="309">
        <v>258.29000000000002</v>
      </c>
      <c r="S254" s="309">
        <v>336.96</v>
      </c>
      <c r="T254" s="309">
        <v>385.27</v>
      </c>
      <c r="U254" s="309">
        <v>550.95000000000005</v>
      </c>
      <c r="V254" s="309">
        <v>595.11</v>
      </c>
      <c r="W254" s="309">
        <v>688.55</v>
      </c>
      <c r="X254" s="309">
        <v>737.21</v>
      </c>
      <c r="Y254" s="309">
        <f t="shared" si="148"/>
        <v>746.81639573786003</v>
      </c>
      <c r="Z254" s="309"/>
      <c r="AB254" s="309">
        <v>186.06474904770002</v>
      </c>
      <c r="AC254" s="309">
        <v>337.85874328828999</v>
      </c>
      <c r="AD254" s="309">
        <v>511.10003291052004</v>
      </c>
      <c r="AE254" s="309">
        <v>746.81639573786003</v>
      </c>
      <c r="AF254" s="309">
        <v>259.15459999999996</v>
      </c>
      <c r="AG254" s="309"/>
      <c r="AH254" s="309"/>
      <c r="AI254" s="309"/>
      <c r="AK254" s="309">
        <f t="shared" si="149"/>
        <v>186.06474904770002</v>
      </c>
      <c r="AL254" s="309">
        <f t="shared" si="150"/>
        <v>151.79399424058997</v>
      </c>
      <c r="AM254" s="309">
        <f t="shared" si="151"/>
        <v>173.24128962223006</v>
      </c>
      <c r="AN254" s="309">
        <f t="shared" si="152"/>
        <v>235.71636282733999</v>
      </c>
      <c r="AO254" s="309">
        <f t="shared" si="153"/>
        <v>259.15459999999996</v>
      </c>
      <c r="AP254" s="309"/>
      <c r="AQ254" s="309"/>
      <c r="AR254" s="309"/>
    </row>
    <row r="255" spans="2:44" ht="15" customHeight="1" outlineLevel="1" x14ac:dyDescent="0.25">
      <c r="B255" s="148" t="s">
        <v>254</v>
      </c>
      <c r="C255" s="148"/>
      <c r="D255" s="148"/>
      <c r="E255" s="148"/>
      <c r="F255" s="148"/>
      <c r="G255" s="148"/>
      <c r="H255" s="148"/>
      <c r="I255" s="148"/>
      <c r="J255" s="148"/>
      <c r="K255" s="148"/>
      <c r="L255" s="309">
        <v>0</v>
      </c>
      <c r="M255" s="309">
        <v>0</v>
      </c>
      <c r="N255" s="309">
        <v>0</v>
      </c>
      <c r="O255" s="309">
        <v>0</v>
      </c>
      <c r="P255" s="309">
        <v>0</v>
      </c>
      <c r="Q255" s="309">
        <v>0</v>
      </c>
      <c r="R255" s="309">
        <v>0</v>
      </c>
      <c r="S255" s="309">
        <v>0</v>
      </c>
      <c r="T255" s="309">
        <v>0</v>
      </c>
      <c r="U255" s="309">
        <v>0</v>
      </c>
      <c r="V255" s="309">
        <v>0</v>
      </c>
      <c r="W255" s="309">
        <v>3.55</v>
      </c>
      <c r="X255" s="309">
        <v>9.73</v>
      </c>
      <c r="Y255" s="309">
        <f t="shared" si="148"/>
        <v>8.6599936</v>
      </c>
      <c r="Z255" s="309"/>
      <c r="AB255" s="309">
        <v>2.83566406</v>
      </c>
      <c r="AC255" s="309">
        <v>4.2207800600000001</v>
      </c>
      <c r="AD255" s="309">
        <v>5.8405610599999989</v>
      </c>
      <c r="AE255" s="309">
        <v>8.6599936</v>
      </c>
      <c r="AF255" s="309">
        <v>3.1138199999999996</v>
      </c>
      <c r="AG255" s="309"/>
      <c r="AH255" s="309"/>
      <c r="AI255" s="309"/>
      <c r="AK255" s="309">
        <f t="shared" si="149"/>
        <v>2.83566406</v>
      </c>
      <c r="AL255" s="309">
        <f t="shared" si="150"/>
        <v>1.385116</v>
      </c>
      <c r="AM255" s="309">
        <f t="shared" si="151"/>
        <v>1.6197809999999988</v>
      </c>
      <c r="AN255" s="309">
        <f t="shared" si="152"/>
        <v>2.8194325400000011</v>
      </c>
      <c r="AO255" s="309">
        <f t="shared" si="153"/>
        <v>3.1138199999999996</v>
      </c>
      <c r="AP255" s="309"/>
      <c r="AQ255" s="309"/>
      <c r="AR255" s="309"/>
    </row>
    <row r="256" spans="2:44" ht="15" customHeight="1" outlineLevel="1" x14ac:dyDescent="0.25">
      <c r="B256" s="148" t="s">
        <v>470</v>
      </c>
      <c r="C256" s="148"/>
      <c r="D256" s="148"/>
      <c r="E256" s="148"/>
      <c r="F256" s="148"/>
      <c r="G256" s="148"/>
      <c r="H256" s="148"/>
      <c r="I256" s="148"/>
      <c r="J256" s="148"/>
      <c r="K256" s="148"/>
      <c r="L256" s="309">
        <v>0</v>
      </c>
      <c r="M256" s="309">
        <v>0</v>
      </c>
      <c r="N256" s="309">
        <v>0</v>
      </c>
      <c r="O256" s="309">
        <v>0</v>
      </c>
      <c r="P256" s="309">
        <v>0</v>
      </c>
      <c r="Q256" s="309">
        <v>0</v>
      </c>
      <c r="R256" s="309">
        <v>0</v>
      </c>
      <c r="S256" s="309">
        <v>0</v>
      </c>
      <c r="T256" s="309">
        <v>0</v>
      </c>
      <c r="U256" s="309">
        <v>0</v>
      </c>
      <c r="V256" s="309">
        <v>0</v>
      </c>
      <c r="W256" s="309">
        <v>8.9</v>
      </c>
      <c r="X256" s="309">
        <v>93.19</v>
      </c>
      <c r="Y256" s="309">
        <f t="shared" si="148"/>
        <v>85.843300999999997</v>
      </c>
      <c r="Z256" s="309"/>
      <c r="AB256" s="309">
        <v>24.907774</v>
      </c>
      <c r="AC256" s="309">
        <v>41.904474</v>
      </c>
      <c r="AD256" s="309">
        <v>65.770834000000008</v>
      </c>
      <c r="AE256" s="309">
        <v>85.843300999999997</v>
      </c>
      <c r="AF256" s="309">
        <v>30.436410000000002</v>
      </c>
      <c r="AG256" s="309"/>
      <c r="AH256" s="309"/>
      <c r="AI256" s="309"/>
      <c r="AK256" s="309">
        <f t="shared" si="149"/>
        <v>24.907774</v>
      </c>
      <c r="AL256" s="309">
        <f t="shared" si="150"/>
        <v>16.996700000000001</v>
      </c>
      <c r="AM256" s="309">
        <f t="shared" si="151"/>
        <v>23.866360000000007</v>
      </c>
      <c r="AN256" s="309">
        <f t="shared" si="152"/>
        <v>20.072466999999989</v>
      </c>
      <c r="AO256" s="309">
        <f t="shared" si="153"/>
        <v>30.436410000000002</v>
      </c>
      <c r="AP256" s="309"/>
      <c r="AQ256" s="309"/>
      <c r="AR256" s="309"/>
    </row>
    <row r="257" spans="2:44" ht="15" customHeight="1" x14ac:dyDescent="0.25">
      <c r="B257" s="148" t="s">
        <v>315</v>
      </c>
      <c r="C257" s="130"/>
      <c r="D257" s="130"/>
      <c r="E257" s="130"/>
      <c r="F257" s="130"/>
      <c r="G257" s="130"/>
      <c r="H257" s="130"/>
      <c r="I257" s="130"/>
      <c r="J257" s="130"/>
      <c r="K257" s="130"/>
      <c r="L257" s="310"/>
      <c r="M257" s="310"/>
      <c r="N257" s="310"/>
      <c r="O257" s="310"/>
      <c r="P257" s="310"/>
      <c r="Q257" s="310"/>
      <c r="R257" s="310"/>
      <c r="S257" s="310"/>
      <c r="T257" s="310"/>
      <c r="U257" s="310"/>
      <c r="V257" s="310"/>
      <c r="W257" s="310"/>
      <c r="X257" s="310"/>
      <c r="Y257" s="310"/>
      <c r="Z257" s="310"/>
      <c r="AB257" s="310"/>
      <c r="AC257" s="310"/>
      <c r="AD257" s="310"/>
      <c r="AE257" s="310"/>
      <c r="AF257" s="309">
        <v>1.40587</v>
      </c>
      <c r="AK257" s="310"/>
      <c r="AL257" s="310"/>
      <c r="AM257" s="310"/>
      <c r="AN257" s="310"/>
      <c r="AO257" s="310"/>
      <c r="AP257" s="310"/>
      <c r="AQ257" s="310"/>
      <c r="AR257" s="310"/>
    </row>
    <row r="258" spans="2:44" ht="15" customHeight="1" x14ac:dyDescent="0.25">
      <c r="B258" s="39" t="s">
        <v>90</v>
      </c>
      <c r="C258" s="39"/>
      <c r="D258" s="39"/>
      <c r="E258" s="39"/>
      <c r="F258" s="39"/>
      <c r="G258" s="39"/>
      <c r="H258" s="39"/>
      <c r="I258" s="39"/>
      <c r="J258" s="39"/>
      <c r="K258" s="39"/>
      <c r="L258" s="335">
        <v>84.17</v>
      </c>
      <c r="M258" s="335">
        <v>87.99</v>
      </c>
      <c r="N258" s="335">
        <v>94.23</v>
      </c>
      <c r="O258" s="335">
        <v>89.26</v>
      </c>
      <c r="P258" s="335">
        <v>80.260000000000005</v>
      </c>
      <c r="Q258" s="335">
        <v>83</v>
      </c>
      <c r="R258" s="335">
        <v>81.47</v>
      </c>
      <c r="S258" s="335">
        <v>81.02</v>
      </c>
      <c r="T258" s="335">
        <v>77.39</v>
      </c>
      <c r="U258" s="335">
        <v>77.290000000000006</v>
      </c>
      <c r="V258" s="335">
        <v>80.59</v>
      </c>
      <c r="W258" s="335">
        <v>80.98</v>
      </c>
      <c r="X258" s="335">
        <v>105.99</v>
      </c>
      <c r="Y258" s="335">
        <f t="shared" ref="Y258:Y272" si="154">AE258</f>
        <v>93.098151848572527</v>
      </c>
      <c r="Z258" s="335"/>
      <c r="AB258" s="335">
        <v>105.14218216831631</v>
      </c>
      <c r="AC258" s="335">
        <v>89.615890213326054</v>
      </c>
      <c r="AD258" s="335">
        <v>93.012936915290439</v>
      </c>
      <c r="AE258" s="335">
        <v>93.098151848572527</v>
      </c>
      <c r="AF258" s="335" vm="560">
        <v>89.430787137165225</v>
      </c>
      <c r="AG258" s="335"/>
      <c r="AH258" s="335"/>
      <c r="AI258" s="335"/>
      <c r="AK258"/>
      <c r="AL258"/>
      <c r="AM258"/>
      <c r="AN258"/>
      <c r="AO258" s="335"/>
      <c r="AP258" s="335"/>
      <c r="AQ258" s="335"/>
      <c r="AR258" s="335"/>
    </row>
    <row r="259" spans="2:44" ht="15" customHeight="1" x14ac:dyDescent="0.25">
      <c r="B259" t="s">
        <v>91</v>
      </c>
      <c r="L259" s="336">
        <v>79.13</v>
      </c>
      <c r="M259" s="336">
        <v>82.53</v>
      </c>
      <c r="N259" s="336">
        <v>87.71</v>
      </c>
      <c r="O259" s="336">
        <v>80.28</v>
      </c>
      <c r="P259" s="336">
        <v>0</v>
      </c>
      <c r="Q259" s="336" t="s">
        <v>17</v>
      </c>
      <c r="R259" s="336" t="s">
        <v>17</v>
      </c>
      <c r="S259" s="336">
        <v>0</v>
      </c>
      <c r="T259" s="336">
        <v>72.349999999999994</v>
      </c>
      <c r="U259" s="336">
        <v>71.099999999999994</v>
      </c>
      <c r="V259" s="336">
        <v>78.849999999999994</v>
      </c>
      <c r="W259" s="336">
        <v>67.28</v>
      </c>
      <c r="X259" s="336">
        <v>102.28</v>
      </c>
      <c r="Y259" s="336" vm="549">
        <f t="shared" si="154"/>
        <v>78.743595937026342</v>
      </c>
      <c r="Z259" s="336"/>
      <c r="AB259" s="336" vm="112">
        <v>109.6088944014776</v>
      </c>
      <c r="AC259" s="336" vm="160">
        <v>85.872416787050696</v>
      </c>
      <c r="AD259" s="336" vm="308">
        <v>84.999624261798658</v>
      </c>
      <c r="AE259" s="336" vm="549">
        <v>78.743595937026342</v>
      </c>
      <c r="AF259" s="336" vm="586">
        <v>75.304309865565756</v>
      </c>
      <c r="AG259" s="336"/>
      <c r="AH259" s="336"/>
      <c r="AI259" s="336"/>
      <c r="AK259"/>
      <c r="AL259"/>
      <c r="AM259"/>
      <c r="AN259"/>
      <c r="AO259" s="336"/>
      <c r="AP259" s="336"/>
      <c r="AQ259" s="336"/>
      <c r="AR259" s="336"/>
    </row>
    <row r="260" spans="2:44" ht="15" customHeight="1" outlineLevel="1" x14ac:dyDescent="0.25">
      <c r="B260" s="148" t="s">
        <v>475</v>
      </c>
      <c r="C260" s="148"/>
      <c r="D260" s="148"/>
      <c r="E260" s="148"/>
      <c r="F260" s="148"/>
      <c r="G260" s="148"/>
      <c r="H260" s="148"/>
      <c r="I260" s="148"/>
      <c r="J260" s="148"/>
      <c r="K260" s="148"/>
      <c r="L260" s="337" t="s">
        <v>17</v>
      </c>
      <c r="M260" s="337" t="s">
        <v>17</v>
      </c>
      <c r="N260" s="337" t="s">
        <v>17</v>
      </c>
      <c r="O260" s="337" t="s">
        <v>17</v>
      </c>
      <c r="P260" s="337">
        <v>34.869999999999997</v>
      </c>
      <c r="Q260" s="337">
        <v>45.34</v>
      </c>
      <c r="R260" s="337">
        <v>34.28</v>
      </c>
      <c r="S260" s="337">
        <v>49.87</v>
      </c>
      <c r="T260" s="337">
        <v>52.87</v>
      </c>
      <c r="U260" s="337">
        <v>52.61</v>
      </c>
      <c r="V260" s="337">
        <v>32</v>
      </c>
      <c r="W260" s="337">
        <v>105.57</v>
      </c>
      <c r="X260" s="337">
        <v>160.01</v>
      </c>
      <c r="Y260" s="337">
        <f t="shared" si="154"/>
        <v>75.864169868935065</v>
      </c>
      <c r="Z260" s="337"/>
      <c r="AB260" s="337">
        <v>82.681259485548253</v>
      </c>
      <c r="AC260" s="337">
        <v>78.764196738443033</v>
      </c>
      <c r="AD260" s="337">
        <v>82.392871860611365</v>
      </c>
      <c r="AE260" s="337">
        <v>75.864169868935065</v>
      </c>
      <c r="AF260" s="337">
        <v>34.034716465221003</v>
      </c>
      <c r="AG260" s="337"/>
      <c r="AH260" s="337"/>
      <c r="AI260" s="337"/>
      <c r="AK260"/>
      <c r="AL260"/>
      <c r="AM260"/>
      <c r="AN260"/>
      <c r="AO260" s="337"/>
      <c r="AP260" s="337"/>
      <c r="AQ260" s="337"/>
      <c r="AR260" s="337"/>
    </row>
    <row r="261" spans="2:44" ht="15" customHeight="1" outlineLevel="1" x14ac:dyDescent="0.25">
      <c r="B261" s="148" t="s">
        <v>476</v>
      </c>
      <c r="C261" s="148"/>
      <c r="D261" s="148"/>
      <c r="E261" s="148"/>
      <c r="F261" s="148"/>
      <c r="G261" s="148"/>
      <c r="H261" s="148"/>
      <c r="I261" s="148"/>
      <c r="J261" s="148"/>
      <c r="K261" s="148"/>
      <c r="L261" s="337" t="s">
        <v>17</v>
      </c>
      <c r="M261" s="337" t="s">
        <v>17</v>
      </c>
      <c r="N261" s="337" t="s">
        <v>17</v>
      </c>
      <c r="O261" s="337" t="s">
        <v>17</v>
      </c>
      <c r="P261" s="337">
        <v>4.88</v>
      </c>
      <c r="Q261" s="337">
        <v>0</v>
      </c>
      <c r="R261" s="337">
        <v>22.2</v>
      </c>
      <c r="S261" s="337">
        <v>-17.53</v>
      </c>
      <c r="T261" s="337">
        <v>-44.83</v>
      </c>
      <c r="U261" s="337">
        <v>-23.32</v>
      </c>
      <c r="V261" s="337">
        <v>48.02</v>
      </c>
      <c r="W261" s="337">
        <v>-127.5</v>
      </c>
      <c r="X261" s="337">
        <v>-0.93</v>
      </c>
      <c r="Y261" s="337">
        <f t="shared" si="154"/>
        <v>15.539728170000004</v>
      </c>
      <c r="Z261" s="337"/>
      <c r="AB261" s="337">
        <v>34.407213380000002</v>
      </c>
      <c r="AC261" s="337">
        <v>9.3536067900000006</v>
      </c>
      <c r="AD261" s="337">
        <v>10.298522029999999</v>
      </c>
      <c r="AE261" s="337">
        <v>15.539728170000004</v>
      </c>
      <c r="AF261" s="337">
        <v>13.832902300000001</v>
      </c>
      <c r="AG261" s="337"/>
      <c r="AH261" s="337"/>
      <c r="AI261" s="337"/>
      <c r="AK261"/>
      <c r="AL261"/>
      <c r="AM261"/>
      <c r="AN261"/>
      <c r="AO261" s="337"/>
      <c r="AP261" s="337"/>
      <c r="AQ261" s="337"/>
      <c r="AR261" s="337"/>
    </row>
    <row r="262" spans="2:44" ht="15" customHeight="1" outlineLevel="1" x14ac:dyDescent="0.25">
      <c r="B262" s="148" t="s">
        <v>477</v>
      </c>
      <c r="C262" s="148"/>
      <c r="D262" s="148"/>
      <c r="E262" s="148"/>
      <c r="F262" s="148"/>
      <c r="G262" s="148"/>
      <c r="H262" s="148"/>
      <c r="I262" s="148"/>
      <c r="J262" s="148"/>
      <c r="K262" s="148"/>
      <c r="L262" s="337" t="s">
        <v>17</v>
      </c>
      <c r="M262" s="337" t="s">
        <v>17</v>
      </c>
      <c r="N262" s="337" t="s">
        <v>17</v>
      </c>
      <c r="O262" s="337" t="s">
        <v>17</v>
      </c>
      <c r="P262" s="337">
        <v>160.88999999999999</v>
      </c>
      <c r="Q262" s="337">
        <v>157.99</v>
      </c>
      <c r="R262" s="337">
        <v>157.96</v>
      </c>
      <c r="S262" s="337">
        <v>180.64</v>
      </c>
      <c r="T262" s="337">
        <v>180.9</v>
      </c>
      <c r="U262" s="337">
        <v>161.88</v>
      </c>
      <c r="V262" s="337">
        <v>112.61</v>
      </c>
      <c r="W262" s="337">
        <v>105.51</v>
      </c>
      <c r="X262" s="337">
        <v>36.17</v>
      </c>
      <c r="Y262" s="337">
        <f t="shared" si="154"/>
        <v>10.83940125</v>
      </c>
      <c r="Z262" s="337"/>
      <c r="AB262" s="337">
        <v>3.1131014300000008</v>
      </c>
      <c r="AC262" s="337">
        <v>6.1336582699999997</v>
      </c>
      <c r="AD262" s="337">
        <v>8.6200664700000011</v>
      </c>
      <c r="AE262" s="337">
        <v>10.83940125</v>
      </c>
      <c r="AF262" s="337">
        <v>2.2193347800000005</v>
      </c>
      <c r="AG262" s="337"/>
      <c r="AH262" s="337"/>
      <c r="AI262" s="337"/>
      <c r="AK262"/>
      <c r="AL262"/>
      <c r="AM262"/>
      <c r="AN262"/>
      <c r="AO262" s="337"/>
      <c r="AP262" s="337"/>
      <c r="AQ262" s="337"/>
      <c r="AR262" s="337"/>
    </row>
    <row r="263" spans="2:44" ht="15" customHeight="1" outlineLevel="1" x14ac:dyDescent="0.25">
      <c r="B263" s="148" t="s">
        <v>478</v>
      </c>
      <c r="C263" s="148"/>
      <c r="D263" s="148"/>
      <c r="E263" s="148"/>
      <c r="F263" s="148"/>
      <c r="G263" s="148"/>
      <c r="H263" s="148"/>
      <c r="I263" s="148"/>
      <c r="J263" s="148"/>
      <c r="K263" s="148"/>
      <c r="L263" s="337" t="s">
        <v>17</v>
      </c>
      <c r="M263" s="337" t="s">
        <v>17</v>
      </c>
      <c r="N263" s="337" t="s">
        <v>17</v>
      </c>
      <c r="O263" s="337" t="s">
        <v>17</v>
      </c>
      <c r="P263" s="337">
        <v>0.69</v>
      </c>
      <c r="Q263" s="337">
        <v>-8.41</v>
      </c>
      <c r="R263" s="337">
        <v>26.28</v>
      </c>
      <c r="S263" s="337">
        <v>-24.63</v>
      </c>
      <c r="T263" s="337">
        <v>-35.46</v>
      </c>
      <c r="U263" s="337">
        <v>-3.74</v>
      </c>
      <c r="V263" s="337">
        <v>34.9</v>
      </c>
      <c r="W263" s="337">
        <v>-171.34</v>
      </c>
      <c r="X263" s="337">
        <v>-301.19</v>
      </c>
      <c r="Y263" s="337">
        <f t="shared" si="154"/>
        <v>1.951416</v>
      </c>
      <c r="Z263" s="337"/>
      <c r="AB263" s="337">
        <v>-301.194051</v>
      </c>
      <c r="AC263" s="337">
        <v>-7.494567</v>
      </c>
      <c r="AD263" s="337">
        <v>-1.82755</v>
      </c>
      <c r="AE263" s="337">
        <v>1.951416</v>
      </c>
      <c r="AF263" s="337">
        <v>37.412773659999999</v>
      </c>
      <c r="AG263" s="337"/>
      <c r="AH263" s="337"/>
      <c r="AI263" s="337"/>
      <c r="AK263"/>
      <c r="AL263"/>
      <c r="AM263"/>
      <c r="AN263"/>
      <c r="AO263" s="337"/>
      <c r="AP263" s="337"/>
      <c r="AQ263" s="337"/>
      <c r="AR263" s="337"/>
    </row>
    <row r="264" spans="2:44" ht="15" customHeight="1" x14ac:dyDescent="0.25">
      <c r="B264" t="s">
        <v>51</v>
      </c>
      <c r="L264" s="336">
        <v>93.82</v>
      </c>
      <c r="M264" s="336">
        <v>98.65</v>
      </c>
      <c r="N264" s="336">
        <v>101.82</v>
      </c>
      <c r="O264" s="336">
        <v>99.27</v>
      </c>
      <c r="P264" s="336">
        <v>98.29</v>
      </c>
      <c r="Q264" s="336">
        <v>94.97</v>
      </c>
      <c r="R264" s="336">
        <v>88.04</v>
      </c>
      <c r="S264" s="336">
        <v>89.97</v>
      </c>
      <c r="T264" s="336">
        <v>90.61</v>
      </c>
      <c r="U264" s="336">
        <v>89.28</v>
      </c>
      <c r="V264" s="336">
        <v>86.35</v>
      </c>
      <c r="W264" s="336">
        <v>84.17</v>
      </c>
      <c r="X264" s="336">
        <v>94.28</v>
      </c>
      <c r="Y264" s="336" vm="550">
        <f t="shared" si="154"/>
        <v>97.169527507132202</v>
      </c>
      <c r="Z264" s="336"/>
      <c r="AB264" s="336" vm="113">
        <v>98.189983599093509</v>
      </c>
      <c r="AC264" s="336" vm="373">
        <v>98.147538175363721</v>
      </c>
      <c r="AD264" s="336" vm="443">
        <v>98.392393893872722</v>
      </c>
      <c r="AE264" s="336" vm="550">
        <v>97.169527507132202</v>
      </c>
      <c r="AF264" s="336" vm="558">
        <v>88.161971553263456</v>
      </c>
      <c r="AG264" s="336"/>
      <c r="AH264" s="336"/>
      <c r="AI264" s="336"/>
      <c r="AK264"/>
      <c r="AL264"/>
      <c r="AM264"/>
      <c r="AN264"/>
      <c r="AO264" s="336"/>
      <c r="AP264" s="336"/>
      <c r="AQ264" s="336"/>
      <c r="AR264" s="336"/>
    </row>
    <row r="265" spans="2:44" ht="15" customHeight="1" x14ac:dyDescent="0.25">
      <c r="B265" t="s">
        <v>52</v>
      </c>
      <c r="L265" s="336">
        <v>93.83</v>
      </c>
      <c r="M265" s="336">
        <v>95.7</v>
      </c>
      <c r="N265" s="336">
        <v>107.16</v>
      </c>
      <c r="O265" s="336">
        <v>104.77</v>
      </c>
      <c r="P265" s="336">
        <v>95.82</v>
      </c>
      <c r="Q265" s="336">
        <v>86</v>
      </c>
      <c r="R265" s="336">
        <v>83.32</v>
      </c>
      <c r="S265" s="336">
        <v>79.44</v>
      </c>
      <c r="T265" s="336">
        <v>73.39</v>
      </c>
      <c r="U265" s="336">
        <v>77.680000000000007</v>
      </c>
      <c r="V265" s="336">
        <v>77.73</v>
      </c>
      <c r="W265" s="336">
        <v>98.63</v>
      </c>
      <c r="X265" s="336">
        <v>117.95</v>
      </c>
      <c r="Y265" s="336" vm="435">
        <f t="shared" si="154"/>
        <v>105.17520977069323</v>
      </c>
      <c r="Z265" s="336"/>
      <c r="AB265" s="336" vm="123">
        <v>104.37070917654954</v>
      </c>
      <c r="AC265" s="336" vm="395">
        <v>88.558010473682415</v>
      </c>
      <c r="AD265" s="336" vm="308">
        <v>97.870739000438775</v>
      </c>
      <c r="AE265" s="336" vm="435">
        <v>105.17520977069323</v>
      </c>
      <c r="AF265" s="336" vm="527">
        <v>104.17013363716183</v>
      </c>
      <c r="AG265" s="336"/>
      <c r="AH265" s="336"/>
      <c r="AI265" s="336"/>
      <c r="AK265"/>
      <c r="AL265"/>
      <c r="AM265"/>
      <c r="AN265"/>
      <c r="AO265" s="336"/>
      <c r="AP265" s="336"/>
      <c r="AQ265" s="336"/>
      <c r="AR265" s="336"/>
    </row>
    <row r="266" spans="2:44" ht="15" customHeight="1" outlineLevel="1" x14ac:dyDescent="0.25">
      <c r="B266" s="148" t="s">
        <v>466</v>
      </c>
      <c r="C266" s="148"/>
      <c r="D266" s="148"/>
      <c r="E266" s="148"/>
      <c r="F266" s="148"/>
      <c r="G266" s="148"/>
      <c r="H266" s="148"/>
      <c r="I266" s="148"/>
      <c r="J266" s="148"/>
      <c r="K266" s="148"/>
      <c r="L266" s="337">
        <v>83.9</v>
      </c>
      <c r="M266" s="337">
        <v>86.8</v>
      </c>
      <c r="N266" s="337">
        <v>88.84</v>
      </c>
      <c r="O266" s="337">
        <v>90.16</v>
      </c>
      <c r="P266" s="337">
        <v>90.4</v>
      </c>
      <c r="Q266" s="337">
        <v>90.87</v>
      </c>
      <c r="R266" s="337">
        <v>90.42</v>
      </c>
      <c r="S266" s="337">
        <v>90.41</v>
      </c>
      <c r="T266" s="337">
        <v>90.32</v>
      </c>
      <c r="U266" s="337">
        <v>90.15</v>
      </c>
      <c r="V266" s="337">
        <v>80.27</v>
      </c>
      <c r="W266" s="337">
        <v>79.63</v>
      </c>
      <c r="X266" s="337">
        <v>74.03</v>
      </c>
      <c r="Y266" s="337" vm="553">
        <f t="shared" si="154"/>
        <v>79.641603849484</v>
      </c>
      <c r="Z266" s="337"/>
      <c r="AB266" s="337" vm="118">
        <v>78.256293882215374</v>
      </c>
      <c r="AC266" s="337" vm="394">
        <v>79.348047901891931</v>
      </c>
      <c r="AD266" s="337" vm="443">
        <v>79.314394759285506</v>
      </c>
      <c r="AE266" s="337" vm="553">
        <v>79.641603849484</v>
      </c>
      <c r="AF266" s="337" vm="579">
        <v>77.478398632712313</v>
      </c>
      <c r="AG266" s="337"/>
      <c r="AH266" s="337"/>
      <c r="AI266" s="337"/>
      <c r="AK266"/>
      <c r="AL266"/>
      <c r="AM266"/>
      <c r="AN266"/>
      <c r="AO266" s="337"/>
      <c r="AP266" s="337"/>
      <c r="AQ266" s="337"/>
      <c r="AR266" s="337"/>
    </row>
    <row r="267" spans="2:44" ht="15" customHeight="1" outlineLevel="1" x14ac:dyDescent="0.25">
      <c r="B267" s="148" t="s">
        <v>58</v>
      </c>
      <c r="C267" s="148"/>
      <c r="D267" s="148"/>
      <c r="E267" s="148"/>
      <c r="F267" s="148"/>
      <c r="G267" s="148"/>
      <c r="H267" s="148"/>
      <c r="I267" s="148"/>
      <c r="J267" s="148"/>
      <c r="K267" s="148"/>
      <c r="L267" s="337">
        <v>112</v>
      </c>
      <c r="M267" s="337">
        <v>112</v>
      </c>
      <c r="N267" s="337">
        <v>112</v>
      </c>
      <c r="O267" s="337">
        <v>112</v>
      </c>
      <c r="P267" s="337">
        <v>110.36</v>
      </c>
      <c r="Q267" s="337">
        <v>108.61</v>
      </c>
      <c r="R267" s="337">
        <v>105.83</v>
      </c>
      <c r="S267" s="337">
        <v>105.38</v>
      </c>
      <c r="T267" s="337">
        <v>103.76</v>
      </c>
      <c r="U267" s="337">
        <v>105.59</v>
      </c>
      <c r="V267" s="337">
        <v>111.06</v>
      </c>
      <c r="W267" s="337">
        <v>99.43</v>
      </c>
      <c r="X267" s="337">
        <v>101.75</v>
      </c>
      <c r="Y267" s="337" vm="434">
        <f t="shared" si="154"/>
        <v>101.73938832652743</v>
      </c>
      <c r="Z267" s="337"/>
      <c r="AB267" s="337" vm="119">
        <v>101.50041409969865</v>
      </c>
      <c r="AC267" s="337" vm="394">
        <v>101.48036810319671</v>
      </c>
      <c r="AD267" s="337" vm="443">
        <v>102.00961325266806</v>
      </c>
      <c r="AE267" s="337" vm="434">
        <v>101.73938832652743</v>
      </c>
      <c r="AF267" s="337" vm="559">
        <v>33.769358430513435</v>
      </c>
      <c r="AG267" s="337"/>
      <c r="AH267" s="337"/>
      <c r="AI267" s="337"/>
      <c r="AK267"/>
      <c r="AL267"/>
      <c r="AM267"/>
      <c r="AN267"/>
      <c r="AO267" s="337"/>
      <c r="AP267" s="337"/>
      <c r="AQ267" s="337"/>
      <c r="AR267" s="337"/>
    </row>
    <row r="268" spans="2:44" ht="15" customHeight="1" outlineLevel="1" x14ac:dyDescent="0.25">
      <c r="B268" s="148" t="s">
        <v>467</v>
      </c>
      <c r="C268" s="148"/>
      <c r="D268" s="148"/>
      <c r="E268" s="148"/>
      <c r="F268" s="148"/>
      <c r="G268" s="148"/>
      <c r="H268" s="148"/>
      <c r="I268" s="148"/>
      <c r="J268" s="148"/>
      <c r="K268" s="148"/>
      <c r="L268" s="337">
        <v>111.54</v>
      </c>
      <c r="M268" s="337">
        <v>108.84</v>
      </c>
      <c r="N268" s="337">
        <v>102.16</v>
      </c>
      <c r="O268" s="337">
        <v>95.56</v>
      </c>
      <c r="P268" s="337">
        <v>94.61</v>
      </c>
      <c r="Q268" s="337">
        <v>87.76</v>
      </c>
      <c r="R268" s="337">
        <v>74.540000000000006</v>
      </c>
      <c r="S268" s="337">
        <v>62.24</v>
      </c>
      <c r="T268" s="337">
        <v>59.68</v>
      </c>
      <c r="U268" s="337">
        <v>71.81</v>
      </c>
      <c r="V268" s="337">
        <v>77.84</v>
      </c>
      <c r="W268" s="337">
        <v>89.01</v>
      </c>
      <c r="X268" s="337">
        <v>96.28</v>
      </c>
      <c r="Y268" s="337" vm="434">
        <f t="shared" si="154"/>
        <v>98.461718630790983</v>
      </c>
      <c r="Z268" s="337"/>
      <c r="AB268" s="337" vm="120">
        <v>93.414476222417889</v>
      </c>
      <c r="AC268" s="337" vm="373">
        <v>69.349870309444512</v>
      </c>
      <c r="AD268" s="337" vm="443">
        <v>97.443570998997203</v>
      </c>
      <c r="AE268" s="337" vm="434">
        <v>98.461718630790983</v>
      </c>
      <c r="AF268" s="337" vm="579">
        <v>108.33328922604261</v>
      </c>
      <c r="AG268" s="337"/>
      <c r="AH268" s="337"/>
      <c r="AI268" s="337"/>
      <c r="AK268"/>
      <c r="AL268"/>
      <c r="AM268"/>
      <c r="AN268"/>
      <c r="AO268" s="337"/>
      <c r="AP268" s="337"/>
      <c r="AQ268" s="337"/>
      <c r="AR268" s="337"/>
    </row>
    <row r="269" spans="2:44" ht="15" customHeight="1" outlineLevel="1" x14ac:dyDescent="0.25">
      <c r="B269" s="148" t="s">
        <v>468</v>
      </c>
      <c r="C269" s="148"/>
      <c r="D269" s="148"/>
      <c r="E269" s="148"/>
      <c r="F269" s="148"/>
      <c r="G269" s="148"/>
      <c r="H269" s="148"/>
      <c r="I269" s="148"/>
      <c r="J269" s="148"/>
      <c r="K269" s="148"/>
      <c r="L269" s="337" t="s">
        <v>17</v>
      </c>
      <c r="M269" s="337">
        <v>89.11</v>
      </c>
      <c r="N269" s="337">
        <v>137.11000000000001</v>
      </c>
      <c r="O269" s="337">
        <v>121.13</v>
      </c>
      <c r="P269" s="337">
        <v>94.37</v>
      </c>
      <c r="Q269" s="337">
        <v>72.2</v>
      </c>
      <c r="R269" s="337">
        <v>75.73</v>
      </c>
      <c r="S269" s="337">
        <v>73.75</v>
      </c>
      <c r="T269" s="337">
        <v>54.89</v>
      </c>
      <c r="U269" s="337">
        <v>68.13</v>
      </c>
      <c r="V269" s="337">
        <v>70.680000000000007</v>
      </c>
      <c r="W269" s="337">
        <v>82.53</v>
      </c>
      <c r="X269" s="337">
        <v>71.86</v>
      </c>
      <c r="Y269" s="337" vm="435">
        <f t="shared" si="154"/>
        <v>117.27350611426931</v>
      </c>
      <c r="Z269" s="337"/>
      <c r="AB269" s="337" vm="121">
        <v>116.51486182779649</v>
      </c>
      <c r="AC269" s="337" vm="395">
        <v>98.054630281924929</v>
      </c>
      <c r="AD269" s="337" vm="308">
        <v>92.671531393695247</v>
      </c>
      <c r="AE269" s="337" vm="435">
        <v>117.27350611426931</v>
      </c>
      <c r="AF269" s="337" vm="558">
        <v>105.63268432110695</v>
      </c>
      <c r="AG269" s="337"/>
      <c r="AH269" s="337"/>
      <c r="AI269" s="337"/>
      <c r="AK269"/>
      <c r="AL269"/>
      <c r="AM269"/>
      <c r="AN269"/>
      <c r="AO269" s="337"/>
      <c r="AP269" s="337"/>
      <c r="AQ269" s="337"/>
      <c r="AR269" s="337"/>
    </row>
    <row r="270" spans="2:44" ht="15" customHeight="1" outlineLevel="1" x14ac:dyDescent="0.25">
      <c r="B270" s="148" t="s">
        <v>469</v>
      </c>
      <c r="C270" s="148"/>
      <c r="D270" s="148"/>
      <c r="E270" s="148"/>
      <c r="F270" s="148"/>
      <c r="G270" s="148"/>
      <c r="H270" s="148"/>
      <c r="I270" s="148"/>
      <c r="J270" s="148"/>
      <c r="K270" s="148"/>
      <c r="L270" s="337" t="s">
        <v>17</v>
      </c>
      <c r="M270" s="337" t="s">
        <v>17</v>
      </c>
      <c r="N270" s="337" t="s">
        <v>17</v>
      </c>
      <c r="O270" s="337">
        <v>137.6</v>
      </c>
      <c r="P270" s="337">
        <v>119.16</v>
      </c>
      <c r="Q270" s="337">
        <v>117.53</v>
      </c>
      <c r="R270" s="337">
        <v>116.69</v>
      </c>
      <c r="S270" s="337">
        <v>120.95</v>
      </c>
      <c r="T270" s="337">
        <v>110.3</v>
      </c>
      <c r="U270" s="337">
        <v>95.34</v>
      </c>
      <c r="V270" s="337">
        <v>90.57</v>
      </c>
      <c r="W270" s="337">
        <v>149.80000000000001</v>
      </c>
      <c r="X270" s="337">
        <v>271.70999999999998</v>
      </c>
      <c r="Y270" s="337" vm="434">
        <f t="shared" si="154"/>
        <v>120.08029251915063</v>
      </c>
      <c r="Z270" s="337"/>
      <c r="AB270" s="337" vm="109">
        <v>137.58238761194531</v>
      </c>
      <c r="AC270" s="337" vm="373">
        <v>127.44296379643922</v>
      </c>
      <c r="AD270" s="337" vm="443">
        <v>121.76995028524286</v>
      </c>
      <c r="AE270" s="337" vm="434">
        <v>120.08029251915063</v>
      </c>
      <c r="AF270" s="337" vm="593">
        <v>115.79336025677331</v>
      </c>
      <c r="AG270" s="337"/>
      <c r="AH270" s="337"/>
      <c r="AI270" s="337"/>
      <c r="AK270"/>
      <c r="AL270"/>
      <c r="AM270"/>
      <c r="AN270"/>
      <c r="AO270" s="337"/>
      <c r="AP270" s="337"/>
      <c r="AQ270" s="337"/>
      <c r="AR270" s="337"/>
    </row>
    <row r="271" spans="2:44" ht="15" customHeight="1" outlineLevel="1" x14ac:dyDescent="0.25">
      <c r="B271" s="148" t="s">
        <v>254</v>
      </c>
      <c r="C271" s="148"/>
      <c r="D271" s="148"/>
      <c r="E271" s="148"/>
      <c r="F271" s="148"/>
      <c r="G271" s="148"/>
      <c r="H271" s="148"/>
      <c r="I271" s="148"/>
      <c r="J271" s="148"/>
      <c r="K271" s="148"/>
      <c r="L271" s="337">
        <v>0</v>
      </c>
      <c r="M271" s="337">
        <v>0</v>
      </c>
      <c r="N271" s="337">
        <v>0</v>
      </c>
      <c r="O271" s="337">
        <v>0</v>
      </c>
      <c r="P271" s="337">
        <v>0</v>
      </c>
      <c r="Q271" s="337">
        <v>0</v>
      </c>
      <c r="R271" s="337">
        <v>0</v>
      </c>
      <c r="S271" s="337">
        <v>0</v>
      </c>
      <c r="T271" s="337">
        <v>0</v>
      </c>
      <c r="U271" s="337">
        <v>0</v>
      </c>
      <c r="V271" s="337">
        <v>0</v>
      </c>
      <c r="W271" s="337">
        <v>124.9</v>
      </c>
      <c r="X271" s="337">
        <v>220.17</v>
      </c>
      <c r="Y271" s="337" vm="434">
        <f t="shared" si="154"/>
        <v>308.58440202542408</v>
      </c>
      <c r="Z271" s="337"/>
      <c r="AB271" s="337" vm="122">
        <v>301.21361808986637</v>
      </c>
      <c r="AC271" s="337" vm="373">
        <v>304.34986029572929</v>
      </c>
      <c r="AD271" s="337" vm="443">
        <v>307.19753615588434</v>
      </c>
      <c r="AE271" s="337" vm="434">
        <v>308.58440202542408</v>
      </c>
      <c r="AF271" s="337" vm="594">
        <v>319.10164360817265</v>
      </c>
      <c r="AG271" s="337"/>
      <c r="AH271" s="337"/>
      <c r="AI271" s="337"/>
      <c r="AK271"/>
      <c r="AL271"/>
      <c r="AM271"/>
      <c r="AN271"/>
      <c r="AO271" s="337"/>
      <c r="AP271" s="337"/>
      <c r="AQ271" s="337"/>
      <c r="AR271" s="337"/>
    </row>
    <row r="272" spans="2:44" ht="15" customHeight="1" outlineLevel="1" x14ac:dyDescent="0.25">
      <c r="B272" s="148" t="s">
        <v>470</v>
      </c>
      <c r="C272" s="148"/>
      <c r="D272" s="148"/>
      <c r="E272" s="148"/>
      <c r="F272" s="148"/>
      <c r="G272" s="148"/>
      <c r="H272" s="148"/>
      <c r="I272" s="148"/>
      <c r="J272" s="148"/>
      <c r="K272" s="148"/>
      <c r="L272" s="337">
        <v>0</v>
      </c>
      <c r="M272" s="337">
        <v>0</v>
      </c>
      <c r="N272" s="337">
        <v>0</v>
      </c>
      <c r="O272" s="337">
        <v>0</v>
      </c>
      <c r="P272" s="337">
        <v>0</v>
      </c>
      <c r="Q272" s="337">
        <v>0</v>
      </c>
      <c r="R272" s="337">
        <v>0</v>
      </c>
      <c r="S272" s="337">
        <v>0</v>
      </c>
      <c r="T272" s="337">
        <v>0</v>
      </c>
      <c r="U272" s="337">
        <v>0</v>
      </c>
      <c r="V272" s="337">
        <v>0</v>
      </c>
      <c r="W272" s="337">
        <v>70.84</v>
      </c>
      <c r="X272" s="337">
        <v>68.400000000000006</v>
      </c>
      <c r="Y272" s="337" vm="434">
        <f t="shared" si="154"/>
        <v>67.969887274293342</v>
      </c>
      <c r="Z272" s="337"/>
      <c r="AB272" s="337" vm="109">
        <v>67.227723762067214</v>
      </c>
      <c r="AC272" s="337" vm="373">
        <v>68.002326434165468</v>
      </c>
      <c r="AD272" s="337" vm="443">
        <v>68.230515672037853</v>
      </c>
      <c r="AE272" s="337" vm="434">
        <v>67.969887274293342</v>
      </c>
      <c r="AF272" s="337" vm="594">
        <v>65.841652152799881</v>
      </c>
      <c r="AG272" s="337"/>
      <c r="AH272" s="337"/>
      <c r="AI272" s="337"/>
      <c r="AK272"/>
      <c r="AL272"/>
      <c r="AM272"/>
      <c r="AN272"/>
      <c r="AO272" s="337"/>
      <c r="AP272" s="337"/>
      <c r="AQ272" s="337"/>
      <c r="AR272" s="337"/>
    </row>
    <row r="273" spans="2:44" ht="15" customHeight="1" x14ac:dyDescent="0.25">
      <c r="B273" s="20"/>
      <c r="C273" s="20"/>
      <c r="D273" s="20"/>
      <c r="E273" s="20"/>
      <c r="F273" s="20"/>
      <c r="G273" s="20"/>
      <c r="H273" s="20"/>
      <c r="I273" s="20"/>
      <c r="J273" s="20"/>
      <c r="K273" s="20"/>
      <c r="Q273" s="315"/>
      <c r="R273" s="315"/>
      <c r="S273" s="315"/>
      <c r="T273" s="315"/>
      <c r="U273" s="315"/>
    </row>
    <row r="274" spans="2:44" ht="30" customHeight="1" x14ac:dyDescent="0.25">
      <c r="B274" s="181" t="s">
        <v>270</v>
      </c>
      <c r="C274" s="181"/>
      <c r="D274" s="181"/>
      <c r="E274" s="181"/>
      <c r="F274" s="181"/>
      <c r="G274" s="181"/>
      <c r="H274" s="181"/>
      <c r="I274" s="181"/>
      <c r="J274" s="181"/>
      <c r="K274" s="181"/>
      <c r="L274" s="224"/>
      <c r="M274" s="224"/>
      <c r="N274" s="224"/>
      <c r="O274" s="224"/>
      <c r="P274" s="224"/>
      <c r="Q274" s="224"/>
      <c r="R274" s="224"/>
      <c r="S274" s="224"/>
      <c r="T274" s="224"/>
      <c r="U274" s="224"/>
      <c r="V274" s="225"/>
    </row>
    <row r="275" spans="2:44" ht="15" customHeight="1" x14ac:dyDescent="0.25">
      <c r="B275" s="169" t="s">
        <v>92</v>
      </c>
      <c r="C275" s="169"/>
      <c r="D275" s="169"/>
      <c r="E275" s="169"/>
      <c r="F275" s="169"/>
      <c r="G275" s="169"/>
      <c r="H275" s="169"/>
      <c r="I275" s="169"/>
      <c r="J275" s="169"/>
      <c r="K275" s="169"/>
      <c r="L275" s="228">
        <v>2010</v>
      </c>
      <c r="M275" s="228">
        <v>2011</v>
      </c>
      <c r="N275" s="228">
        <v>2012</v>
      </c>
      <c r="O275" s="228">
        <v>2013</v>
      </c>
      <c r="P275" s="228">
        <v>2014</v>
      </c>
      <c r="Q275" s="228">
        <v>2015</v>
      </c>
      <c r="R275" s="228">
        <v>2016</v>
      </c>
      <c r="S275" s="228">
        <v>2017</v>
      </c>
      <c r="T275" s="228">
        <v>2018</v>
      </c>
      <c r="U275" s="228">
        <v>2019</v>
      </c>
      <c r="V275" s="228">
        <v>2020</v>
      </c>
      <c r="W275" s="228">
        <v>2021</v>
      </c>
      <c r="X275" s="231">
        <v>2022</v>
      </c>
      <c r="Y275" s="229">
        <v>2023</v>
      </c>
      <c r="Z275" s="230">
        <v>2024</v>
      </c>
      <c r="AB275" s="231" t="s">
        <v>291</v>
      </c>
      <c r="AC275" s="231" t="s">
        <v>292</v>
      </c>
      <c r="AD275" s="231" t="s">
        <v>293</v>
      </c>
      <c r="AE275" s="231">
        <v>2023</v>
      </c>
      <c r="AF275" s="232" t="s">
        <v>318</v>
      </c>
      <c r="AG275" s="232" t="s">
        <v>319</v>
      </c>
      <c r="AH275" s="232" t="s">
        <v>320</v>
      </c>
      <c r="AI275" s="232">
        <v>2024</v>
      </c>
      <c r="AK275" s="231" t="s">
        <v>291</v>
      </c>
      <c r="AL275" s="231" t="s">
        <v>296</v>
      </c>
      <c r="AM275" s="231" t="s">
        <v>294</v>
      </c>
      <c r="AN275" s="231" t="s">
        <v>295</v>
      </c>
      <c r="AO275" s="232" t="s">
        <v>318</v>
      </c>
      <c r="AP275" s="232" t="s">
        <v>321</v>
      </c>
      <c r="AQ275" s="232" t="s">
        <v>322</v>
      </c>
      <c r="AR275" s="232" t="s">
        <v>323</v>
      </c>
    </row>
    <row r="276" spans="2:44" ht="15" customHeight="1" x14ac:dyDescent="0.25">
      <c r="B276" s="40" t="s">
        <v>16</v>
      </c>
      <c r="C276" s="40"/>
      <c r="D276" s="40"/>
      <c r="E276" s="40"/>
      <c r="F276" s="40"/>
      <c r="G276" s="40"/>
      <c r="H276" s="40"/>
      <c r="I276" s="40"/>
      <c r="J276" s="40"/>
      <c r="K276" s="40"/>
      <c r="L276" s="301">
        <v>7.53</v>
      </c>
      <c r="M276" s="301">
        <v>45.28</v>
      </c>
      <c r="N276" s="301">
        <v>62.09</v>
      </c>
      <c r="O276" s="301">
        <v>69.66</v>
      </c>
      <c r="P276" s="301">
        <v>78.47</v>
      </c>
      <c r="Q276" s="301">
        <v>79.069999999999993</v>
      </c>
      <c r="R276" s="301">
        <v>132.63</v>
      </c>
      <c r="S276" s="301">
        <v>226.41</v>
      </c>
      <c r="T276" s="301">
        <v>215.22</v>
      </c>
      <c r="U276" s="301">
        <v>327.39</v>
      </c>
      <c r="V276" s="301">
        <v>214.93</v>
      </c>
      <c r="W276" s="301">
        <v>431.02</v>
      </c>
      <c r="X276" s="301">
        <v>483.11</v>
      </c>
      <c r="Y276" s="301">
        <f>AE276</f>
        <v>692.17433362842894</v>
      </c>
      <c r="Z276" s="301"/>
      <c r="AB276" s="301">
        <v>157.68399375582635</v>
      </c>
      <c r="AC276" s="301">
        <v>289.1262192027333</v>
      </c>
      <c r="AD276" s="301">
        <v>497.44571208198477</v>
      </c>
      <c r="AE276" s="301">
        <v>692.17433362842894</v>
      </c>
      <c r="AF276" s="301">
        <v>94.525144180000041</v>
      </c>
      <c r="AG276" s="301"/>
      <c r="AH276" s="301"/>
      <c r="AI276" s="301"/>
      <c r="AK276" s="301">
        <f t="shared" ref="AK276:AK283" si="155">AB276</f>
        <v>157.68399375582635</v>
      </c>
      <c r="AL276" s="301">
        <f t="shared" ref="AL276:AN283" si="156">AC276-AB276</f>
        <v>131.44222544690695</v>
      </c>
      <c r="AM276" s="301">
        <f t="shared" si="156"/>
        <v>208.31949287925147</v>
      </c>
      <c r="AN276" s="301">
        <f t="shared" si="156"/>
        <v>194.72862154644417</v>
      </c>
      <c r="AO276" s="301">
        <f t="shared" ref="AO276:AO283" si="157">AF276</f>
        <v>94.525144180000041</v>
      </c>
      <c r="AP276" s="260"/>
      <c r="AQ276" s="260"/>
      <c r="AR276" s="260"/>
    </row>
    <row r="277" spans="2:44" ht="15" customHeight="1" x14ac:dyDescent="0.25">
      <c r="B277" s="131" t="s">
        <v>66</v>
      </c>
      <c r="C277" s="131"/>
      <c r="D277" s="131"/>
      <c r="E277" s="131"/>
      <c r="F277" s="131"/>
      <c r="G277" s="131"/>
      <c r="H277" s="131"/>
      <c r="I277" s="131"/>
      <c r="J277" s="131"/>
      <c r="K277" s="131"/>
      <c r="L277" s="310">
        <v>0</v>
      </c>
      <c r="M277" s="310">
        <v>0</v>
      </c>
      <c r="N277" s="310">
        <v>0</v>
      </c>
      <c r="O277" s="310">
        <v>0</v>
      </c>
      <c r="P277" s="310">
        <v>0.04</v>
      </c>
      <c r="Q277" s="310">
        <v>2.2999999999999998</v>
      </c>
      <c r="R277" s="310">
        <v>5.92</v>
      </c>
      <c r="S277" s="310">
        <v>23.57</v>
      </c>
      <c r="T277" s="310">
        <v>7.76</v>
      </c>
      <c r="U277" s="310">
        <v>382.07</v>
      </c>
      <c r="V277" s="310">
        <v>19.64</v>
      </c>
      <c r="W277" s="310">
        <v>4.26</v>
      </c>
      <c r="X277" s="310">
        <v>663.94</v>
      </c>
      <c r="Y277" s="310">
        <f>AE277</f>
        <v>377.05315140241697</v>
      </c>
      <c r="Z277" s="310"/>
      <c r="AB277" s="310">
        <v>-9.053879575999999E-7</v>
      </c>
      <c r="AC277" s="310">
        <v>5.2354090231665893</v>
      </c>
      <c r="AD277" s="310">
        <v>7.335171646931868</v>
      </c>
      <c r="AE277" s="310">
        <v>377.05315140241697</v>
      </c>
      <c r="AF277" s="310">
        <v>0.72976185999999998</v>
      </c>
      <c r="AG277" s="310"/>
      <c r="AH277" s="310"/>
      <c r="AI277" s="310"/>
      <c r="AK277" s="310">
        <f t="shared" si="155"/>
        <v>-9.053879575999999E-7</v>
      </c>
      <c r="AL277" s="310">
        <f t="shared" si="156"/>
        <v>5.2354099285545468</v>
      </c>
      <c r="AM277" s="310">
        <f t="shared" si="156"/>
        <v>2.0997626237652787</v>
      </c>
      <c r="AN277" s="310">
        <f t="shared" si="156"/>
        <v>369.71797975548509</v>
      </c>
      <c r="AO277" s="310">
        <f t="shared" si="157"/>
        <v>0.72976185999999998</v>
      </c>
      <c r="AP277" s="310"/>
      <c r="AQ277" s="310"/>
      <c r="AR277" s="310"/>
    </row>
    <row r="278" spans="2:44" ht="15" customHeight="1" x14ac:dyDescent="0.25">
      <c r="B278" s="131" t="s">
        <v>67</v>
      </c>
      <c r="C278" s="131"/>
      <c r="D278" s="131"/>
      <c r="E278" s="131"/>
      <c r="F278" s="131"/>
      <c r="G278" s="131"/>
      <c r="H278" s="131"/>
      <c r="I278" s="131"/>
      <c r="J278" s="131"/>
      <c r="K278" s="131"/>
      <c r="L278" s="310">
        <v>8.56</v>
      </c>
      <c r="M278" s="310">
        <v>14.8</v>
      </c>
      <c r="N278" s="310">
        <v>20.56</v>
      </c>
      <c r="O278" s="310">
        <v>28.22</v>
      </c>
      <c r="P278" s="310">
        <v>30.79</v>
      </c>
      <c r="Q278" s="310">
        <v>35.880000000000003</v>
      </c>
      <c r="R278" s="310">
        <v>41.83</v>
      </c>
      <c r="S278" s="310">
        <v>47.02</v>
      </c>
      <c r="T278" s="310">
        <v>82.83</v>
      </c>
      <c r="U278" s="310">
        <v>103.76</v>
      </c>
      <c r="V278" s="310">
        <v>83.13</v>
      </c>
      <c r="W278" s="310">
        <v>124.52</v>
      </c>
      <c r="X278" s="310">
        <v>181.89</v>
      </c>
      <c r="Y278" s="310">
        <f>(AE278)</f>
        <v>228.96328764958122</v>
      </c>
      <c r="Z278" s="310"/>
      <c r="AA278" s="310"/>
      <c r="AB278" s="310">
        <v>60.058497529586646</v>
      </c>
      <c r="AC278" s="310">
        <v>111.34029047341144</v>
      </c>
      <c r="AD278" s="310">
        <v>167.23075981940269</v>
      </c>
      <c r="AE278" s="310">
        <v>228.96328764958122</v>
      </c>
      <c r="AF278" s="310">
        <v>51.657053689999991</v>
      </c>
      <c r="AG278" s="310"/>
      <c r="AH278" s="310"/>
      <c r="AI278" s="310"/>
      <c r="AK278" s="310">
        <f t="shared" si="155"/>
        <v>60.058497529586646</v>
      </c>
      <c r="AL278" s="310">
        <f t="shared" si="156"/>
        <v>51.281792943824797</v>
      </c>
      <c r="AM278" s="310">
        <f t="shared" si="156"/>
        <v>55.890469345991249</v>
      </c>
      <c r="AN278" s="310">
        <f t="shared" si="156"/>
        <v>61.732527830178526</v>
      </c>
      <c r="AO278" s="310">
        <f t="shared" si="157"/>
        <v>51.657053689999991</v>
      </c>
      <c r="AP278" s="310"/>
      <c r="AQ278" s="310"/>
      <c r="AR278" s="310"/>
    </row>
    <row r="279" spans="2:44" ht="15" customHeight="1" x14ac:dyDescent="0.25">
      <c r="B279" s="132" t="s">
        <v>68</v>
      </c>
      <c r="C279" s="132"/>
      <c r="D279" s="132"/>
      <c r="E279" s="132"/>
      <c r="F279" s="132"/>
      <c r="G279" s="132"/>
      <c r="H279" s="132"/>
      <c r="I279" s="132"/>
      <c r="J279" s="132"/>
      <c r="K279" s="132"/>
      <c r="L279" s="310">
        <v>4.5</v>
      </c>
      <c r="M279" s="310">
        <v>11.36</v>
      </c>
      <c r="N279" s="310">
        <v>15.5</v>
      </c>
      <c r="O279" s="310">
        <v>22.45</v>
      </c>
      <c r="P279" s="310">
        <v>19.100000000000001</v>
      </c>
      <c r="Q279" s="310">
        <v>20.52</v>
      </c>
      <c r="R279" s="310">
        <v>28.26</v>
      </c>
      <c r="S279" s="310">
        <v>33.11</v>
      </c>
      <c r="T279" s="310">
        <v>55.72</v>
      </c>
      <c r="U279" s="310">
        <v>67.72</v>
      </c>
      <c r="V279" s="310">
        <v>55.12</v>
      </c>
      <c r="W279" s="310">
        <v>82.1</v>
      </c>
      <c r="X279" s="310">
        <v>124.09</v>
      </c>
      <c r="Y279" s="310">
        <f>(AE279)</f>
        <v>173.82508853140243</v>
      </c>
      <c r="Z279" s="310"/>
      <c r="AA279" s="310"/>
      <c r="AB279" s="310">
        <v>45.200982545611538</v>
      </c>
      <c r="AC279" s="310">
        <v>84.552649939435668</v>
      </c>
      <c r="AD279" s="310">
        <v>128.38462331857292</v>
      </c>
      <c r="AE279" s="310">
        <v>173.82508853140243</v>
      </c>
      <c r="AF279" s="310">
        <v>36.320581609999991</v>
      </c>
      <c r="AG279" s="310"/>
      <c r="AH279" s="310"/>
      <c r="AI279" s="310"/>
      <c r="AK279" s="310">
        <f t="shared" si="155"/>
        <v>45.200982545611538</v>
      </c>
      <c r="AL279" s="310">
        <f t="shared" si="156"/>
        <v>39.35166739382413</v>
      </c>
      <c r="AM279" s="310">
        <f t="shared" si="156"/>
        <v>43.831973379137253</v>
      </c>
      <c r="AN279" s="310">
        <f t="shared" si="156"/>
        <v>45.440465212829508</v>
      </c>
      <c r="AO279" s="310">
        <f t="shared" si="157"/>
        <v>36.320581609999991</v>
      </c>
      <c r="AP279" s="310"/>
      <c r="AQ279" s="310"/>
      <c r="AR279" s="310"/>
    </row>
    <row r="280" spans="2:44" ht="15" customHeight="1" x14ac:dyDescent="0.25">
      <c r="B280" s="132" t="s">
        <v>69</v>
      </c>
      <c r="C280" s="132"/>
      <c r="D280" s="132"/>
      <c r="E280" s="132"/>
      <c r="F280" s="132"/>
      <c r="G280" s="132"/>
      <c r="H280" s="132"/>
      <c r="I280" s="132"/>
      <c r="J280" s="132"/>
      <c r="K280" s="132"/>
      <c r="L280" s="310">
        <v>2.15</v>
      </c>
      <c r="M280" s="310">
        <v>3.16</v>
      </c>
      <c r="N280" s="310">
        <v>3.05</v>
      </c>
      <c r="O280" s="310">
        <v>3.27</v>
      </c>
      <c r="P280" s="310">
        <v>4.16</v>
      </c>
      <c r="Q280" s="310">
        <v>5.8</v>
      </c>
      <c r="R280" s="310">
        <v>8.02</v>
      </c>
      <c r="S280" s="310">
        <v>7.71</v>
      </c>
      <c r="T280" s="310">
        <v>7.43</v>
      </c>
      <c r="U280" s="310">
        <v>11.84</v>
      </c>
      <c r="V280" s="310">
        <v>8.82</v>
      </c>
      <c r="W280" s="310">
        <v>15.29</v>
      </c>
      <c r="X280" s="310">
        <v>23.38</v>
      </c>
      <c r="Y280" s="310">
        <f>(AE280)</f>
        <v>29.883278105114993</v>
      </c>
      <c r="Z280" s="310"/>
      <c r="AA280" s="310"/>
      <c r="AB280" s="310">
        <v>8.9761506160426983</v>
      </c>
      <c r="AC280" s="310">
        <v>16.440816317206735</v>
      </c>
      <c r="AD280" s="310">
        <v>23.575594433681609</v>
      </c>
      <c r="AE280" s="310">
        <v>29.883278105114993</v>
      </c>
      <c r="AF280" s="310">
        <v>10.483278610000003</v>
      </c>
      <c r="AG280" s="310"/>
      <c r="AH280" s="310"/>
      <c r="AI280" s="310"/>
      <c r="AK280" s="310">
        <f t="shared" si="155"/>
        <v>8.9761506160426983</v>
      </c>
      <c r="AL280" s="310">
        <f t="shared" si="156"/>
        <v>7.4646657011640372</v>
      </c>
      <c r="AM280" s="310">
        <f t="shared" si="156"/>
        <v>7.1347781164748731</v>
      </c>
      <c r="AN280" s="310">
        <f t="shared" si="156"/>
        <v>6.3076836714333844</v>
      </c>
      <c r="AO280" s="310">
        <f t="shared" si="157"/>
        <v>10.483278610000003</v>
      </c>
      <c r="AP280" s="310"/>
      <c r="AQ280" s="310"/>
      <c r="AR280" s="310"/>
    </row>
    <row r="281" spans="2:44" ht="15" customHeight="1" x14ac:dyDescent="0.25">
      <c r="B281" s="132" t="s">
        <v>70</v>
      </c>
      <c r="C281" s="132"/>
      <c r="D281" s="132"/>
      <c r="E281" s="132"/>
      <c r="F281" s="132"/>
      <c r="G281" s="132"/>
      <c r="H281" s="132"/>
      <c r="I281" s="132"/>
      <c r="J281" s="132"/>
      <c r="K281" s="132"/>
      <c r="L281" s="310">
        <v>1.91</v>
      </c>
      <c r="M281" s="310">
        <v>0.28000000000000003</v>
      </c>
      <c r="N281" s="310">
        <v>2.02</v>
      </c>
      <c r="O281" s="310">
        <v>2.4900000000000002</v>
      </c>
      <c r="P281" s="310">
        <v>7.53</v>
      </c>
      <c r="Q281" s="310">
        <v>9.56</v>
      </c>
      <c r="R281" s="310">
        <v>5.55</v>
      </c>
      <c r="S281" s="310">
        <v>6.2</v>
      </c>
      <c r="T281" s="310">
        <v>19.68</v>
      </c>
      <c r="U281" s="310">
        <v>24.2</v>
      </c>
      <c r="V281" s="310">
        <v>19.18</v>
      </c>
      <c r="W281" s="310">
        <v>27.13</v>
      </c>
      <c r="X281" s="310">
        <v>34.43</v>
      </c>
      <c r="Y281" s="310">
        <f>(AE281)</f>
        <v>25.2549210130638</v>
      </c>
      <c r="Z281" s="310"/>
      <c r="AA281" s="310"/>
      <c r="AB281" s="310">
        <v>5.881364367932405</v>
      </c>
      <c r="AC281" s="310">
        <v>10.346824216769033</v>
      </c>
      <c r="AD281" s="310">
        <v>15.270542067148178</v>
      </c>
      <c r="AE281" s="310">
        <v>25.2549210130638</v>
      </c>
      <c r="AF281" s="310">
        <v>4.8531934699999999</v>
      </c>
      <c r="AG281" s="310"/>
      <c r="AH281" s="310"/>
      <c r="AI281" s="310"/>
      <c r="AK281" s="310">
        <f t="shared" si="155"/>
        <v>5.881364367932405</v>
      </c>
      <c r="AL281" s="310">
        <f t="shared" si="156"/>
        <v>4.4654598488366277</v>
      </c>
      <c r="AM281" s="310">
        <f t="shared" si="156"/>
        <v>4.9237178503791448</v>
      </c>
      <c r="AN281" s="310">
        <f t="shared" si="156"/>
        <v>9.9843789459156227</v>
      </c>
      <c r="AO281" s="310">
        <f t="shared" si="157"/>
        <v>4.8531934699999999</v>
      </c>
      <c r="AP281" s="310"/>
      <c r="AQ281" s="310"/>
      <c r="AR281" s="310"/>
    </row>
    <row r="282" spans="2:44" ht="15" customHeight="1" x14ac:dyDescent="0.25">
      <c r="B282" s="131" t="s">
        <v>71</v>
      </c>
      <c r="C282" s="131"/>
      <c r="D282" s="131"/>
      <c r="E282" s="131"/>
      <c r="F282" s="131"/>
      <c r="G282" s="131"/>
      <c r="H282" s="131"/>
      <c r="I282" s="131"/>
      <c r="J282" s="131"/>
      <c r="K282" s="131"/>
      <c r="L282" s="310">
        <v>0</v>
      </c>
      <c r="M282" s="310">
        <v>0</v>
      </c>
      <c r="N282" s="310">
        <v>0</v>
      </c>
      <c r="O282" s="310">
        <v>0</v>
      </c>
      <c r="P282" s="310">
        <v>0</v>
      </c>
      <c r="Q282" s="310">
        <v>0</v>
      </c>
      <c r="R282" s="310">
        <v>0</v>
      </c>
      <c r="S282" s="310">
        <v>0</v>
      </c>
      <c r="T282" s="310">
        <v>0</v>
      </c>
      <c r="U282" s="310">
        <v>0</v>
      </c>
      <c r="V282" s="310">
        <v>0</v>
      </c>
      <c r="W282" s="310">
        <v>0</v>
      </c>
      <c r="X282" s="310">
        <v>0</v>
      </c>
      <c r="Y282" s="310">
        <f>AE282</f>
        <v>1.9643468633294105E-6</v>
      </c>
      <c r="Z282" s="310"/>
      <c r="AB282" s="310">
        <v>1.2917389050126075E-6</v>
      </c>
      <c r="AC282" s="310">
        <v>1.156298628076911E-6</v>
      </c>
      <c r="AD282" s="310">
        <v>8.9396004751324654E-7</v>
      </c>
      <c r="AE282" s="310">
        <v>1.9643468633294105E-6</v>
      </c>
      <c r="AF282" s="310">
        <v>5.0040398491546511E-15</v>
      </c>
      <c r="AG282" s="310"/>
      <c r="AH282" s="310"/>
      <c r="AI282" s="310"/>
      <c r="AK282" s="310">
        <f t="shared" si="155"/>
        <v>1.2917389050126075E-6</v>
      </c>
      <c r="AL282" s="310">
        <f t="shared" si="156"/>
        <v>-1.3544027693569654E-7</v>
      </c>
      <c r="AM282" s="310">
        <f t="shared" si="156"/>
        <v>-2.6233858056366442E-7</v>
      </c>
      <c r="AN282" s="310">
        <f t="shared" si="156"/>
        <v>1.070386815816164E-6</v>
      </c>
      <c r="AO282" s="310">
        <f t="shared" si="157"/>
        <v>5.0040398491546511E-15</v>
      </c>
      <c r="AP282" s="310"/>
      <c r="AQ282" s="310"/>
      <c r="AR282" s="310"/>
    </row>
    <row r="283" spans="2:44" ht="15" customHeight="1" x14ac:dyDescent="0.25">
      <c r="B283" s="40" t="s">
        <v>72</v>
      </c>
      <c r="C283" s="40"/>
      <c r="D283" s="40"/>
      <c r="E283" s="40"/>
      <c r="F283" s="40"/>
      <c r="G283" s="40"/>
      <c r="H283" s="40"/>
      <c r="I283" s="40"/>
      <c r="J283" s="40"/>
      <c r="K283" s="40"/>
      <c r="L283" s="301">
        <v>-1.03</v>
      </c>
      <c r="M283" s="301">
        <v>30.48</v>
      </c>
      <c r="N283" s="301">
        <v>41.53</v>
      </c>
      <c r="O283" s="301">
        <v>41.44</v>
      </c>
      <c r="P283" s="301">
        <v>47.72</v>
      </c>
      <c r="Q283" s="301">
        <v>45.49</v>
      </c>
      <c r="R283" s="301">
        <v>96.71</v>
      </c>
      <c r="S283" s="301">
        <v>202.96</v>
      </c>
      <c r="T283" s="301">
        <v>140.16</v>
      </c>
      <c r="U283" s="301">
        <v>605.69000000000005</v>
      </c>
      <c r="V283" s="301">
        <v>151.43</v>
      </c>
      <c r="W283" s="301">
        <v>310.76</v>
      </c>
      <c r="X283" s="301">
        <v>965.16</v>
      </c>
      <c r="Y283" s="301">
        <f>AE283</f>
        <v>840.26419934561318</v>
      </c>
      <c r="Z283" s="301"/>
      <c r="AB283" s="301">
        <v>97.625496612590666</v>
      </c>
      <c r="AC283" s="301">
        <v>183.02133890878773</v>
      </c>
      <c r="AD283" s="301">
        <v>337.5501248034742</v>
      </c>
      <c r="AE283" s="301">
        <v>840.26419934561318</v>
      </c>
      <c r="AF283" s="301">
        <v>43.597852350000025</v>
      </c>
      <c r="AG283" s="301"/>
      <c r="AH283" s="301"/>
      <c r="AI283" s="301"/>
      <c r="AK283" s="301">
        <f t="shared" si="155"/>
        <v>97.625496612590666</v>
      </c>
      <c r="AL283" s="301">
        <f t="shared" si="156"/>
        <v>85.39584229619706</v>
      </c>
      <c r="AM283" s="301">
        <f t="shared" si="156"/>
        <v>154.52878589468648</v>
      </c>
      <c r="AN283" s="301">
        <f t="shared" si="156"/>
        <v>502.71407454213897</v>
      </c>
      <c r="AO283" s="301">
        <f t="shared" si="157"/>
        <v>43.597852350000025</v>
      </c>
      <c r="AP283" s="301"/>
      <c r="AQ283" s="301"/>
      <c r="AR283" s="301"/>
    </row>
    <row r="284" spans="2:44" ht="15" customHeight="1" x14ac:dyDescent="0.25">
      <c r="B284" s="133" t="s">
        <v>73</v>
      </c>
      <c r="C284" s="133"/>
      <c r="D284" s="133"/>
      <c r="E284" s="133"/>
      <c r="F284" s="133"/>
      <c r="G284" s="133"/>
      <c r="H284" s="133"/>
      <c r="I284" s="133"/>
      <c r="J284" s="133"/>
      <c r="K284" s="133"/>
      <c r="L284" s="330" t="s">
        <v>17</v>
      </c>
      <c r="M284" s="330">
        <v>0.67</v>
      </c>
      <c r="N284" s="330">
        <v>0.67</v>
      </c>
      <c r="O284" s="330">
        <v>0.59</v>
      </c>
      <c r="P284" s="330">
        <v>0.61</v>
      </c>
      <c r="Q284" s="330">
        <v>0.57999999999999996</v>
      </c>
      <c r="R284" s="330">
        <v>0.73</v>
      </c>
      <c r="S284" s="330">
        <v>0.9</v>
      </c>
      <c r="T284" s="330">
        <v>0.65</v>
      </c>
      <c r="U284" s="330">
        <v>1.85</v>
      </c>
      <c r="V284" s="330">
        <v>0.7</v>
      </c>
      <c r="W284" s="330">
        <v>0.77</v>
      </c>
      <c r="X284" s="330">
        <v>2</v>
      </c>
      <c r="Y284" s="330">
        <f>AE284</f>
        <v>1.2139487965999638</v>
      </c>
      <c r="Z284" s="330"/>
      <c r="AB284" s="330">
        <v>0.61912115673429569</v>
      </c>
      <c r="AC284" s="330">
        <v>0.63301536406303727</v>
      </c>
      <c r="AD284" s="330">
        <v>0.67856675935693278</v>
      </c>
      <c r="AE284" s="330">
        <v>1.2139487965999638</v>
      </c>
      <c r="AF284" s="330">
        <v>0.46123021264033798</v>
      </c>
      <c r="AG284" s="330"/>
      <c r="AH284" s="330"/>
      <c r="AI284" s="330"/>
      <c r="AK284" s="330"/>
      <c r="AL284" s="330"/>
      <c r="AM284" s="330"/>
      <c r="AN284" s="330"/>
      <c r="AO284" s="330"/>
      <c r="AP284" s="330"/>
      <c r="AQ284" s="330"/>
      <c r="AR284" s="330"/>
    </row>
    <row r="285" spans="2:44" ht="15" customHeight="1" x14ac:dyDescent="0.25">
      <c r="B285" s="130" t="s">
        <v>74</v>
      </c>
      <c r="C285" s="130"/>
      <c r="D285" s="130"/>
      <c r="E285" s="130"/>
      <c r="F285" s="130"/>
      <c r="G285" s="130"/>
      <c r="H285" s="130"/>
      <c r="I285" s="130"/>
      <c r="J285" s="130"/>
      <c r="K285" s="130"/>
      <c r="L285" s="310">
        <v>0</v>
      </c>
      <c r="M285" s="310">
        <v>0</v>
      </c>
      <c r="N285" s="310">
        <v>0</v>
      </c>
      <c r="O285" s="310">
        <v>7.0000000000000007E-2</v>
      </c>
      <c r="P285" s="310">
        <v>0</v>
      </c>
      <c r="Q285" s="310">
        <v>0</v>
      </c>
      <c r="R285" s="310">
        <v>0</v>
      </c>
      <c r="S285" s="310">
        <v>0.03</v>
      </c>
      <c r="T285" s="310">
        <v>0</v>
      </c>
      <c r="U285" s="310">
        <v>0.03</v>
      </c>
      <c r="V285" s="310">
        <v>7.0000000000000007E-2</v>
      </c>
      <c r="W285" s="310">
        <v>-0.1</v>
      </c>
      <c r="X285" s="310">
        <v>0</v>
      </c>
      <c r="Y285" s="310">
        <f>(AE285)</f>
        <v>21.311330279971671</v>
      </c>
      <c r="Z285" s="310"/>
      <c r="AA285" s="310"/>
      <c r="AB285" s="310">
        <v>0</v>
      </c>
      <c r="AC285" s="310">
        <v>0</v>
      </c>
      <c r="AD285" s="310">
        <v>0</v>
      </c>
      <c r="AE285" s="310">
        <v>21.311330279971671</v>
      </c>
      <c r="AF285" s="310">
        <v>0</v>
      </c>
      <c r="AG285" s="310"/>
      <c r="AH285" s="310"/>
      <c r="AI285" s="310"/>
      <c r="AK285" s="310">
        <f>AB285</f>
        <v>0</v>
      </c>
      <c r="AL285" s="310">
        <f t="shared" ref="AL285:AN288" si="158">AC285-AB285</f>
        <v>0</v>
      </c>
      <c r="AM285" s="310">
        <f t="shared" si="158"/>
        <v>0</v>
      </c>
      <c r="AN285" s="310">
        <f t="shared" si="158"/>
        <v>21.311330279971671</v>
      </c>
      <c r="AO285" s="310">
        <f>AF285</f>
        <v>0</v>
      </c>
      <c r="AP285" s="310"/>
      <c r="AQ285" s="310"/>
      <c r="AR285" s="310"/>
    </row>
    <row r="286" spans="2:44" ht="15" customHeight="1" x14ac:dyDescent="0.25">
      <c r="B286" s="130" t="s">
        <v>75</v>
      </c>
      <c r="C286" s="130"/>
      <c r="D286" s="130"/>
      <c r="E286" s="130"/>
      <c r="F286" s="130"/>
      <c r="G286" s="130"/>
      <c r="H286" s="130"/>
      <c r="I286" s="130"/>
      <c r="J286" s="130"/>
      <c r="K286" s="130"/>
      <c r="L286" s="310">
        <v>3.13</v>
      </c>
      <c r="M286" s="310">
        <v>10.62</v>
      </c>
      <c r="N286" s="310">
        <v>15.86</v>
      </c>
      <c r="O286" s="310">
        <v>18.399999999999999</v>
      </c>
      <c r="P286" s="310">
        <v>18.53</v>
      </c>
      <c r="Q286" s="310">
        <v>18.86</v>
      </c>
      <c r="R286" s="310">
        <v>31</v>
      </c>
      <c r="S286" s="310">
        <v>37.15</v>
      </c>
      <c r="T286" s="310">
        <v>58.31</v>
      </c>
      <c r="U286" s="310">
        <v>69.3</v>
      </c>
      <c r="V286" s="310">
        <v>52.02</v>
      </c>
      <c r="W286" s="310">
        <v>70.41</v>
      </c>
      <c r="X286" s="310">
        <v>102.18</v>
      </c>
      <c r="Y286" s="310">
        <f>(AE286)</f>
        <v>161.98174084745196</v>
      </c>
      <c r="Z286" s="310"/>
      <c r="AA286" s="310"/>
      <c r="AB286" s="310">
        <v>43.811945713276607</v>
      </c>
      <c r="AC286" s="310">
        <v>87.648589142884504</v>
      </c>
      <c r="AD286" s="310">
        <v>128.13334893724158</v>
      </c>
      <c r="AE286" s="310">
        <v>161.98174084745196</v>
      </c>
      <c r="AF286" s="310">
        <v>34.536578829999989</v>
      </c>
      <c r="AG286" s="310"/>
      <c r="AH286" s="310"/>
      <c r="AI286" s="310"/>
      <c r="AK286" s="310">
        <f>AB286</f>
        <v>43.811945713276607</v>
      </c>
      <c r="AL286" s="310">
        <f t="shared" si="158"/>
        <v>43.836643429607896</v>
      </c>
      <c r="AM286" s="310">
        <f t="shared" si="158"/>
        <v>40.484759794357075</v>
      </c>
      <c r="AN286" s="310">
        <f t="shared" si="158"/>
        <v>33.848391910210381</v>
      </c>
      <c r="AO286" s="310">
        <f>AF286</f>
        <v>34.536578829999989</v>
      </c>
      <c r="AP286" s="310"/>
      <c r="AQ286" s="310"/>
      <c r="AR286" s="310"/>
    </row>
    <row r="287" spans="2:44" ht="15" customHeight="1" x14ac:dyDescent="0.25">
      <c r="B287" s="130" t="s">
        <v>76</v>
      </c>
      <c r="C287" s="130"/>
      <c r="D287" s="130"/>
      <c r="E287" s="130"/>
      <c r="F287" s="130"/>
      <c r="G287" s="130"/>
      <c r="H287" s="130"/>
      <c r="I287" s="130"/>
      <c r="J287" s="130"/>
      <c r="K287" s="130"/>
      <c r="L287" s="310">
        <v>0</v>
      </c>
      <c r="M287" s="310">
        <v>0</v>
      </c>
      <c r="N287" s="310">
        <v>0</v>
      </c>
      <c r="O287" s="310">
        <v>0</v>
      </c>
      <c r="P287" s="310">
        <v>0.09</v>
      </c>
      <c r="Q287" s="310">
        <v>0.1</v>
      </c>
      <c r="R287" s="310">
        <v>0.18</v>
      </c>
      <c r="S287" s="310">
        <v>0.21</v>
      </c>
      <c r="T287" s="310">
        <v>0.26</v>
      </c>
      <c r="U287" s="310">
        <v>0.39</v>
      </c>
      <c r="V287" s="310">
        <v>0</v>
      </c>
      <c r="W287" s="310">
        <v>0</v>
      </c>
      <c r="X287" s="310">
        <v>0</v>
      </c>
      <c r="Y287" s="310">
        <f>(AE287)</f>
        <v>0</v>
      </c>
      <c r="Z287" s="310"/>
      <c r="AA287" s="310"/>
      <c r="AB287" s="310">
        <v>0</v>
      </c>
      <c r="AC287" s="310">
        <v>0</v>
      </c>
      <c r="AD287" s="310">
        <v>0</v>
      </c>
      <c r="AE287" s="310">
        <v>0</v>
      </c>
      <c r="AF287" s="310">
        <v>0</v>
      </c>
      <c r="AG287" s="310"/>
      <c r="AH287" s="310"/>
      <c r="AI287" s="310"/>
      <c r="AK287" s="310">
        <f>AB287</f>
        <v>0</v>
      </c>
      <c r="AL287" s="310">
        <f t="shared" si="158"/>
        <v>0</v>
      </c>
      <c r="AM287" s="310">
        <f t="shared" si="158"/>
        <v>0</v>
      </c>
      <c r="AN287" s="310">
        <f t="shared" si="158"/>
        <v>0</v>
      </c>
      <c r="AO287" s="310">
        <f>AF287</f>
        <v>0</v>
      </c>
      <c r="AP287" s="310"/>
      <c r="AQ287" s="310"/>
      <c r="AR287" s="310"/>
    </row>
    <row r="288" spans="2:44" ht="15" customHeight="1" x14ac:dyDescent="0.25">
      <c r="B288" s="6" t="s">
        <v>77</v>
      </c>
      <c r="C288" s="6"/>
      <c r="D288" s="6"/>
      <c r="E288" s="6"/>
      <c r="F288" s="6"/>
      <c r="G288" s="6"/>
      <c r="H288" s="6"/>
      <c r="I288" s="6"/>
      <c r="J288" s="6"/>
      <c r="K288" s="6"/>
      <c r="L288" s="301">
        <v>-4.16</v>
      </c>
      <c r="M288" s="301">
        <v>19.86</v>
      </c>
      <c r="N288" s="301">
        <v>25.67</v>
      </c>
      <c r="O288" s="301">
        <v>22.97</v>
      </c>
      <c r="P288" s="301">
        <v>29.28</v>
      </c>
      <c r="Q288" s="301">
        <v>26.73</v>
      </c>
      <c r="R288" s="301">
        <v>65.89</v>
      </c>
      <c r="S288" s="301">
        <v>166</v>
      </c>
      <c r="T288" s="301">
        <v>82.11</v>
      </c>
      <c r="U288" s="301">
        <v>536.74</v>
      </c>
      <c r="V288" s="301">
        <v>99.34</v>
      </c>
      <c r="W288" s="301">
        <v>240.45</v>
      </c>
      <c r="X288" s="301">
        <v>862.98</v>
      </c>
      <c r="Y288" s="301">
        <f>AE288</f>
        <v>656.97112821818951</v>
      </c>
      <c r="Z288" s="301"/>
      <c r="AB288" s="301">
        <v>53.813550899314023</v>
      </c>
      <c r="AC288" s="301">
        <v>95.372749765903251</v>
      </c>
      <c r="AD288" s="301">
        <v>209.41677586623246</v>
      </c>
      <c r="AE288" s="301">
        <v>656.97112821818951</v>
      </c>
      <c r="AF288" s="301">
        <v>9.0612735200000554</v>
      </c>
      <c r="AG288" s="301"/>
      <c r="AH288" s="301"/>
      <c r="AI288" s="301"/>
      <c r="AK288" s="301">
        <f>AB288</f>
        <v>53.813550899314023</v>
      </c>
      <c r="AL288" s="301">
        <f t="shared" si="158"/>
        <v>41.559198866589227</v>
      </c>
      <c r="AM288" s="301">
        <f t="shared" si="158"/>
        <v>114.04402610032921</v>
      </c>
      <c r="AN288" s="301">
        <f t="shared" si="158"/>
        <v>447.55435235195705</v>
      </c>
      <c r="AO288" s="301">
        <f>AF288</f>
        <v>9.0612735200000554</v>
      </c>
      <c r="AP288" s="301"/>
      <c r="AQ288" s="301"/>
      <c r="AR288" s="301"/>
    </row>
    <row r="289" spans="2:44" ht="15" customHeight="1" x14ac:dyDescent="0.25">
      <c r="B289" s="130"/>
      <c r="C289" s="130"/>
      <c r="D289" s="130"/>
      <c r="E289" s="130"/>
      <c r="F289" s="130"/>
      <c r="G289" s="130"/>
      <c r="H289" s="130"/>
      <c r="I289" s="130"/>
      <c r="J289" s="130"/>
      <c r="K289" s="130"/>
    </row>
    <row r="290" spans="2:44" ht="15" customHeight="1" x14ac:dyDescent="0.25">
      <c r="B290" s="169" t="s">
        <v>40</v>
      </c>
      <c r="C290" s="169"/>
      <c r="D290" s="169"/>
      <c r="E290" s="169"/>
      <c r="F290" s="169"/>
      <c r="G290" s="169"/>
      <c r="H290" s="169"/>
      <c r="I290" s="169"/>
      <c r="J290" s="169"/>
      <c r="K290" s="169"/>
      <c r="L290" s="228">
        <v>2010</v>
      </c>
      <c r="M290" s="228">
        <v>2011</v>
      </c>
      <c r="N290" s="228">
        <v>2012</v>
      </c>
      <c r="O290" s="228">
        <v>2013</v>
      </c>
      <c r="P290" s="228">
        <v>2014</v>
      </c>
      <c r="Q290" s="228">
        <v>2015</v>
      </c>
      <c r="R290" s="228">
        <v>2016</v>
      </c>
      <c r="S290" s="228">
        <v>2017</v>
      </c>
      <c r="T290" s="228">
        <v>2018</v>
      </c>
      <c r="U290" s="228">
        <v>2019</v>
      </c>
      <c r="V290" s="228">
        <v>2020</v>
      </c>
      <c r="W290" s="228">
        <v>2021</v>
      </c>
      <c r="X290" s="231">
        <v>2022</v>
      </c>
      <c r="Y290" s="229">
        <v>2023</v>
      </c>
      <c r="Z290" s="230">
        <v>2024</v>
      </c>
      <c r="AB290" s="231" t="s">
        <v>291</v>
      </c>
      <c r="AC290" s="231" t="s">
        <v>292</v>
      </c>
      <c r="AD290" s="231" t="s">
        <v>293</v>
      </c>
      <c r="AE290" s="231">
        <v>2023</v>
      </c>
      <c r="AF290" s="232" t="s">
        <v>318</v>
      </c>
      <c r="AG290" s="232" t="s">
        <v>319</v>
      </c>
      <c r="AH290" s="232" t="s">
        <v>320</v>
      </c>
      <c r="AI290" s="232">
        <v>2024</v>
      </c>
      <c r="AK290" s="231" t="s">
        <v>291</v>
      </c>
      <c r="AL290" s="231" t="s">
        <v>296</v>
      </c>
      <c r="AM290" s="231" t="s">
        <v>294</v>
      </c>
      <c r="AN290" s="231" t="s">
        <v>295</v>
      </c>
      <c r="AO290" s="232" t="s">
        <v>318</v>
      </c>
      <c r="AP290" s="232" t="s">
        <v>321</v>
      </c>
      <c r="AQ290" s="232" t="s">
        <v>322</v>
      </c>
      <c r="AR290" s="232" t="s">
        <v>323</v>
      </c>
    </row>
    <row r="291" spans="2:44" ht="15" customHeight="1" x14ac:dyDescent="0.25">
      <c r="B291" s="40" t="s">
        <v>16</v>
      </c>
      <c r="C291" s="40"/>
      <c r="D291" s="40"/>
      <c r="E291" s="40"/>
      <c r="F291" s="40"/>
      <c r="G291" s="40"/>
      <c r="H291" s="40"/>
      <c r="I291" s="40"/>
      <c r="J291" s="40"/>
      <c r="K291" s="40"/>
      <c r="L291" s="301">
        <v>3.23</v>
      </c>
      <c r="M291" s="301">
        <v>19.46</v>
      </c>
      <c r="N291" s="301">
        <v>24.75</v>
      </c>
      <c r="O291" s="301">
        <v>24.29</v>
      </c>
      <c r="P291" s="301">
        <v>25.14</v>
      </c>
      <c r="Q291" s="301">
        <v>21.38</v>
      </c>
      <c r="R291" s="301">
        <v>34.380000000000003</v>
      </c>
      <c r="S291" s="301">
        <v>62.81</v>
      </c>
      <c r="T291" s="301">
        <v>49.97</v>
      </c>
      <c r="U291" s="301">
        <v>74.180000000000007</v>
      </c>
      <c r="V291" s="301">
        <v>36.5</v>
      </c>
      <c r="W291" s="301">
        <v>67.58</v>
      </c>
      <c r="X291" s="301">
        <v>88.81</v>
      </c>
      <c r="Y291" s="301">
        <f>AE291</f>
        <v>128.15648587670003</v>
      </c>
      <c r="Z291" s="301"/>
      <c r="AB291" s="301">
        <v>28.283875846799976</v>
      </c>
      <c r="AC291" s="301">
        <v>52.734401800200018</v>
      </c>
      <c r="AD291" s="301">
        <v>91.703243585600021</v>
      </c>
      <c r="AE291" s="301">
        <v>128.15648587670003</v>
      </c>
      <c r="AF291" s="301">
        <v>17.585338797600006</v>
      </c>
      <c r="AG291" s="301"/>
      <c r="AH291" s="301"/>
      <c r="AI291" s="301"/>
      <c r="AK291" s="301">
        <f t="shared" ref="AK291:AK298" si="159">AB291</f>
        <v>28.283875846799976</v>
      </c>
      <c r="AL291" s="301">
        <f t="shared" ref="AL291:AN298" si="160">AC291-AB291</f>
        <v>24.450525953400042</v>
      </c>
      <c r="AM291" s="301">
        <f t="shared" si="160"/>
        <v>38.968841785400002</v>
      </c>
      <c r="AN291" s="301">
        <f t="shared" si="160"/>
        <v>36.453242291100011</v>
      </c>
      <c r="AO291" s="301">
        <f t="shared" ref="AO291:AO298" si="161">AF291</f>
        <v>17.585338797600006</v>
      </c>
      <c r="AP291" s="301"/>
      <c r="AQ291" s="301"/>
      <c r="AR291" s="301"/>
    </row>
    <row r="292" spans="2:44" ht="15" customHeight="1" x14ac:dyDescent="0.25">
      <c r="B292" s="131" t="s">
        <v>66</v>
      </c>
      <c r="C292" s="131"/>
      <c r="D292" s="131"/>
      <c r="E292" s="131"/>
      <c r="F292" s="131"/>
      <c r="G292" s="131"/>
      <c r="H292" s="131"/>
      <c r="I292" s="131"/>
      <c r="J292" s="131"/>
      <c r="K292" s="131"/>
      <c r="L292" s="310">
        <v>0</v>
      </c>
      <c r="M292" s="310">
        <v>0</v>
      </c>
      <c r="N292" s="310">
        <v>0</v>
      </c>
      <c r="O292" s="310">
        <v>0</v>
      </c>
      <c r="P292" s="310">
        <v>0.01</v>
      </c>
      <c r="Q292" s="310">
        <v>0.62</v>
      </c>
      <c r="R292" s="310">
        <v>1.53</v>
      </c>
      <c r="S292" s="310">
        <v>6.54</v>
      </c>
      <c r="T292" s="310">
        <v>1.8</v>
      </c>
      <c r="U292" s="310">
        <v>88.26</v>
      </c>
      <c r="V292" s="310">
        <v>3.33</v>
      </c>
      <c r="W292" s="310">
        <v>0.67</v>
      </c>
      <c r="X292" s="310">
        <v>122.05</v>
      </c>
      <c r="Y292" s="310">
        <f>AE292</f>
        <v>69.811613237900005</v>
      </c>
      <c r="Z292" s="310"/>
      <c r="AB292" s="310">
        <v>-1.624E-7</v>
      </c>
      <c r="AC292" s="310">
        <v>0.95489839619999994</v>
      </c>
      <c r="AD292" s="310">
        <v>1.3522260137</v>
      </c>
      <c r="AE292" s="310">
        <v>69.811613237900005</v>
      </c>
      <c r="AF292" s="310">
        <v>0.13576391970000004</v>
      </c>
      <c r="AG292" s="310"/>
      <c r="AH292" s="310"/>
      <c r="AI292" s="310"/>
      <c r="AK292" s="310">
        <f t="shared" si="159"/>
        <v>-1.624E-7</v>
      </c>
      <c r="AL292" s="310">
        <f t="shared" si="160"/>
        <v>0.95489855859999995</v>
      </c>
      <c r="AM292" s="310">
        <f t="shared" si="160"/>
        <v>0.39732761750000001</v>
      </c>
      <c r="AN292" s="310">
        <f t="shared" si="160"/>
        <v>68.4593872242</v>
      </c>
      <c r="AO292" s="310">
        <f t="shared" si="161"/>
        <v>0.13576391970000004</v>
      </c>
      <c r="AP292" s="310"/>
      <c r="AQ292" s="310"/>
      <c r="AR292" s="310"/>
    </row>
    <row r="293" spans="2:44" ht="15" customHeight="1" x14ac:dyDescent="0.25">
      <c r="B293" s="131" t="s">
        <v>67</v>
      </c>
      <c r="C293" s="131"/>
      <c r="D293" s="131"/>
      <c r="E293" s="131"/>
      <c r="F293" s="131"/>
      <c r="G293" s="131"/>
      <c r="H293" s="131"/>
      <c r="I293" s="131"/>
      <c r="J293" s="131"/>
      <c r="K293" s="131"/>
      <c r="L293" s="310">
        <v>3.67</v>
      </c>
      <c r="M293" s="310">
        <v>6.36</v>
      </c>
      <c r="N293" s="310">
        <v>8.1999999999999993</v>
      </c>
      <c r="O293" s="310">
        <v>9.84</v>
      </c>
      <c r="P293" s="310">
        <v>9.86</v>
      </c>
      <c r="Q293" s="310">
        <v>9.6999999999999993</v>
      </c>
      <c r="R293" s="310">
        <v>10.84</v>
      </c>
      <c r="S293" s="310">
        <v>13.04</v>
      </c>
      <c r="T293" s="310">
        <v>19.23</v>
      </c>
      <c r="U293" s="310">
        <v>23.51</v>
      </c>
      <c r="V293" s="310">
        <v>13.84</v>
      </c>
      <c r="W293" s="310">
        <v>19.52</v>
      </c>
      <c r="X293" s="310">
        <v>33.44</v>
      </c>
      <c r="Y293" s="310">
        <f>(AE293)</f>
        <v>42.392687671800012</v>
      </c>
      <c r="Z293" s="310"/>
      <c r="AA293" s="310"/>
      <c r="AB293" s="310">
        <v>10.780801663399982</v>
      </c>
      <c r="AC293" s="310">
        <v>20.307613853100001</v>
      </c>
      <c r="AD293" s="310">
        <v>30.828696941699953</v>
      </c>
      <c r="AE293" s="310">
        <v>42.392687671800012</v>
      </c>
      <c r="AF293" s="310">
        <v>9.6102059644999969</v>
      </c>
      <c r="AG293" s="310"/>
      <c r="AH293" s="310"/>
      <c r="AI293" s="310"/>
      <c r="AK293" s="310">
        <f t="shared" si="159"/>
        <v>10.780801663399982</v>
      </c>
      <c r="AL293" s="310">
        <f t="shared" si="160"/>
        <v>9.5268121897000189</v>
      </c>
      <c r="AM293" s="310">
        <f t="shared" si="160"/>
        <v>10.521083088599951</v>
      </c>
      <c r="AN293" s="310">
        <f t="shared" si="160"/>
        <v>11.563990730100059</v>
      </c>
      <c r="AO293" s="310">
        <f t="shared" si="161"/>
        <v>9.6102059644999969</v>
      </c>
      <c r="AP293" s="310"/>
      <c r="AQ293" s="310"/>
      <c r="AR293" s="310"/>
    </row>
    <row r="294" spans="2:44" ht="15" customHeight="1" x14ac:dyDescent="0.25">
      <c r="B294" s="132" t="s">
        <v>68</v>
      </c>
      <c r="C294" s="132"/>
      <c r="D294" s="132"/>
      <c r="E294" s="132"/>
      <c r="F294" s="132"/>
      <c r="G294" s="132"/>
      <c r="H294" s="132"/>
      <c r="I294" s="132"/>
      <c r="J294" s="132"/>
      <c r="K294" s="132"/>
      <c r="L294" s="310">
        <v>1.93</v>
      </c>
      <c r="M294" s="310">
        <v>4.88</v>
      </c>
      <c r="N294" s="310">
        <v>6.18</v>
      </c>
      <c r="O294" s="310">
        <v>7.83</v>
      </c>
      <c r="P294" s="310">
        <v>6.12</v>
      </c>
      <c r="Q294" s="310">
        <v>5.55</v>
      </c>
      <c r="R294" s="310">
        <v>7.33</v>
      </c>
      <c r="S294" s="310">
        <v>9.19</v>
      </c>
      <c r="T294" s="310">
        <v>12.94</v>
      </c>
      <c r="U294" s="310">
        <v>15.34</v>
      </c>
      <c r="V294" s="310">
        <v>9.08</v>
      </c>
      <c r="W294" s="310">
        <v>12.87</v>
      </c>
      <c r="X294" s="310">
        <v>22.81</v>
      </c>
      <c r="Y294" s="310">
        <f>(AE294)</f>
        <v>32.183817603600012</v>
      </c>
      <c r="Z294" s="310"/>
      <c r="AA294" s="310"/>
      <c r="AB294" s="310">
        <v>8.1077282989999837</v>
      </c>
      <c r="AC294" s="310">
        <v>15.421753957400004</v>
      </c>
      <c r="AD294" s="310">
        <v>23.667479885499947</v>
      </c>
      <c r="AE294" s="310">
        <v>32.183817603600012</v>
      </c>
      <c r="AF294" s="310">
        <v>6.7570295972999981</v>
      </c>
      <c r="AG294" s="310"/>
      <c r="AH294" s="310"/>
      <c r="AI294" s="310"/>
      <c r="AK294" s="310">
        <f t="shared" si="159"/>
        <v>8.1077282989999837</v>
      </c>
      <c r="AL294" s="310">
        <f t="shared" si="160"/>
        <v>7.3140256584000198</v>
      </c>
      <c r="AM294" s="310">
        <f t="shared" si="160"/>
        <v>8.2457259280999438</v>
      </c>
      <c r="AN294" s="310">
        <f t="shared" si="160"/>
        <v>8.5163377181000648</v>
      </c>
      <c r="AO294" s="310">
        <f t="shared" si="161"/>
        <v>6.7570295972999981</v>
      </c>
      <c r="AP294" s="310"/>
      <c r="AQ294" s="310"/>
      <c r="AR294" s="310"/>
    </row>
    <row r="295" spans="2:44" ht="15" customHeight="1" x14ac:dyDescent="0.25">
      <c r="B295" s="132" t="s">
        <v>69</v>
      </c>
      <c r="C295" s="132"/>
      <c r="D295" s="132"/>
      <c r="E295" s="132"/>
      <c r="F295" s="132"/>
      <c r="G295" s="132"/>
      <c r="H295" s="132"/>
      <c r="I295" s="132"/>
      <c r="J295" s="132"/>
      <c r="K295" s="132"/>
      <c r="L295" s="310">
        <v>0.92</v>
      </c>
      <c r="M295" s="310">
        <v>1.36</v>
      </c>
      <c r="N295" s="310">
        <v>1.22</v>
      </c>
      <c r="O295" s="310">
        <v>1.1399999999999999</v>
      </c>
      <c r="P295" s="310">
        <v>1.33</v>
      </c>
      <c r="Q295" s="310">
        <v>1.57</v>
      </c>
      <c r="R295" s="310">
        <v>2.08</v>
      </c>
      <c r="S295" s="310">
        <v>2.14</v>
      </c>
      <c r="T295" s="310">
        <v>1.73</v>
      </c>
      <c r="U295" s="310">
        <v>2.68</v>
      </c>
      <c r="V295" s="310">
        <v>1.5</v>
      </c>
      <c r="W295" s="310">
        <v>2.4</v>
      </c>
      <c r="X295" s="310">
        <v>4.3</v>
      </c>
      <c r="Y295" s="310">
        <f>(AE295)</f>
        <v>5.5329065559999977</v>
      </c>
      <c r="Z295" s="310"/>
      <c r="AA295" s="310"/>
      <c r="AB295" s="310">
        <v>1.6100577081999989</v>
      </c>
      <c r="AC295" s="310">
        <v>2.9986786254999984</v>
      </c>
      <c r="AD295" s="310">
        <v>4.3461194388000051</v>
      </c>
      <c r="AE295" s="310">
        <v>5.5329065559999977</v>
      </c>
      <c r="AF295" s="310">
        <v>1.9502950124999996</v>
      </c>
      <c r="AG295" s="310"/>
      <c r="AH295" s="310"/>
      <c r="AI295" s="310"/>
      <c r="AK295" s="310">
        <f t="shared" si="159"/>
        <v>1.6100577081999989</v>
      </c>
      <c r="AL295" s="310">
        <f t="shared" si="160"/>
        <v>1.3886209172999995</v>
      </c>
      <c r="AM295" s="310">
        <f t="shared" si="160"/>
        <v>1.3474408133000066</v>
      </c>
      <c r="AN295" s="310">
        <f t="shared" si="160"/>
        <v>1.1867871171999926</v>
      </c>
      <c r="AO295" s="310">
        <f t="shared" si="161"/>
        <v>1.9502950124999996</v>
      </c>
      <c r="AP295" s="310"/>
      <c r="AQ295" s="310"/>
      <c r="AR295" s="310"/>
    </row>
    <row r="296" spans="2:44" ht="15" customHeight="1" x14ac:dyDescent="0.25">
      <c r="B296" s="132" t="s">
        <v>70</v>
      </c>
      <c r="C296" s="132"/>
      <c r="D296" s="132"/>
      <c r="E296" s="132"/>
      <c r="F296" s="132"/>
      <c r="G296" s="132"/>
      <c r="H296" s="132"/>
      <c r="I296" s="132"/>
      <c r="J296" s="132"/>
      <c r="K296" s="132"/>
      <c r="L296" s="310">
        <v>0.82</v>
      </c>
      <c r="M296" s="310">
        <v>0.12</v>
      </c>
      <c r="N296" s="310">
        <v>0.8</v>
      </c>
      <c r="O296" s="310">
        <v>0.87</v>
      </c>
      <c r="P296" s="310">
        <v>2.41</v>
      </c>
      <c r="Q296" s="310">
        <v>2.59</v>
      </c>
      <c r="R296" s="310">
        <v>1.44</v>
      </c>
      <c r="S296" s="310">
        <v>1.72</v>
      </c>
      <c r="T296" s="310">
        <v>4.57</v>
      </c>
      <c r="U296" s="310">
        <v>5.48</v>
      </c>
      <c r="V296" s="310">
        <v>3.26</v>
      </c>
      <c r="W296" s="310">
        <v>4.25</v>
      </c>
      <c r="X296" s="310">
        <v>6.33</v>
      </c>
      <c r="Y296" s="310">
        <f>(AE296)</f>
        <v>4.6759635122000018</v>
      </c>
      <c r="Z296" s="310"/>
      <c r="AA296" s="310"/>
      <c r="AB296" s="310">
        <v>1.0630156561999995</v>
      </c>
      <c r="AC296" s="310">
        <v>1.8871812702000004</v>
      </c>
      <c r="AD296" s="310">
        <v>2.8150976174000011</v>
      </c>
      <c r="AE296" s="310">
        <v>4.6759635122000018</v>
      </c>
      <c r="AF296" s="310">
        <v>0.9028813547000003</v>
      </c>
      <c r="AG296" s="310"/>
      <c r="AH296" s="310"/>
      <c r="AI296" s="310"/>
      <c r="AK296" s="310">
        <f t="shared" si="159"/>
        <v>1.0630156561999995</v>
      </c>
      <c r="AL296" s="310">
        <f t="shared" si="160"/>
        <v>0.82416561400000088</v>
      </c>
      <c r="AM296" s="310">
        <f t="shared" si="160"/>
        <v>0.92791634720000071</v>
      </c>
      <c r="AN296" s="310">
        <f t="shared" si="160"/>
        <v>1.8608658948000008</v>
      </c>
      <c r="AO296" s="310">
        <f t="shared" si="161"/>
        <v>0.9028813547000003</v>
      </c>
      <c r="AP296" s="310"/>
      <c r="AQ296" s="310"/>
      <c r="AR296" s="310"/>
    </row>
    <row r="297" spans="2:44" ht="15" customHeight="1" x14ac:dyDescent="0.25">
      <c r="B297" s="131" t="s">
        <v>71</v>
      </c>
      <c r="C297" s="131"/>
      <c r="D297" s="131"/>
      <c r="E297" s="131"/>
      <c r="F297" s="131"/>
      <c r="G297" s="131"/>
      <c r="H297" s="131"/>
      <c r="I297" s="131"/>
      <c r="J297" s="131"/>
      <c r="K297" s="131"/>
      <c r="L297" s="310">
        <v>0</v>
      </c>
      <c r="M297" s="310">
        <v>0</v>
      </c>
      <c r="N297" s="310">
        <v>0</v>
      </c>
      <c r="O297" s="310">
        <v>0</v>
      </c>
      <c r="P297" s="310">
        <v>0</v>
      </c>
      <c r="Q297" s="310">
        <v>0</v>
      </c>
      <c r="R297" s="310">
        <v>0</v>
      </c>
      <c r="S297" s="310">
        <v>0</v>
      </c>
      <c r="T297" s="310">
        <v>0</v>
      </c>
      <c r="U297" s="310">
        <v>0</v>
      </c>
      <c r="V297" s="310">
        <v>0</v>
      </c>
      <c r="W297" s="310">
        <v>0</v>
      </c>
      <c r="X297" s="310">
        <v>0</v>
      </c>
      <c r="Y297" s="310">
        <f>AE297</f>
        <v>3.6369986552745106E-7</v>
      </c>
      <c r="Z297" s="310"/>
      <c r="AB297" s="310">
        <v>0</v>
      </c>
      <c r="AC297" s="310">
        <v>2.1090000669937582E-7</v>
      </c>
      <c r="AD297" s="310">
        <v>1.6479998920112848E-7</v>
      </c>
      <c r="AE297" s="310">
        <v>3.6369986552745106E-7</v>
      </c>
      <c r="AF297" s="310">
        <v>7.000092364251031E-10</v>
      </c>
      <c r="AG297" s="310"/>
      <c r="AH297" s="310"/>
      <c r="AI297" s="310"/>
      <c r="AK297" s="310">
        <f t="shared" si="159"/>
        <v>0</v>
      </c>
      <c r="AL297" s="310">
        <f t="shared" si="160"/>
        <v>2.1090000669937582E-7</v>
      </c>
      <c r="AM297" s="310">
        <f t="shared" si="160"/>
        <v>-4.6100017498247336E-8</v>
      </c>
      <c r="AN297" s="310">
        <f t="shared" si="160"/>
        <v>1.9889987632632258E-7</v>
      </c>
      <c r="AO297" s="310">
        <f t="shared" si="161"/>
        <v>7.000092364251031E-10</v>
      </c>
      <c r="AP297" s="310"/>
      <c r="AQ297" s="310"/>
      <c r="AR297" s="310"/>
    </row>
    <row r="298" spans="2:44" ht="15" customHeight="1" x14ac:dyDescent="0.25">
      <c r="B298" s="40" t="s">
        <v>72</v>
      </c>
      <c r="C298" s="40"/>
      <c r="D298" s="40"/>
      <c r="E298" s="40"/>
      <c r="F298" s="40"/>
      <c r="G298" s="40"/>
      <c r="H298" s="40"/>
      <c r="I298" s="40"/>
      <c r="J298" s="40"/>
      <c r="K298" s="40"/>
      <c r="L298" s="301">
        <v>-0.44</v>
      </c>
      <c r="M298" s="301">
        <v>13.1</v>
      </c>
      <c r="N298" s="301">
        <v>16.559999999999999</v>
      </c>
      <c r="O298" s="301">
        <v>14.45</v>
      </c>
      <c r="P298" s="301">
        <v>15.29</v>
      </c>
      <c r="Q298" s="301">
        <v>12.3</v>
      </c>
      <c r="R298" s="301">
        <v>25.07</v>
      </c>
      <c r="S298" s="301">
        <v>56.3</v>
      </c>
      <c r="T298" s="301">
        <v>32.54</v>
      </c>
      <c r="U298" s="301">
        <v>138.93</v>
      </c>
      <c r="V298" s="301">
        <v>25.99</v>
      </c>
      <c r="W298" s="301">
        <v>48.72</v>
      </c>
      <c r="X298" s="301">
        <v>177.42</v>
      </c>
      <c r="Y298" s="301">
        <f>AE298</f>
        <v>155.57541180649969</v>
      </c>
      <c r="Z298" s="301"/>
      <c r="AB298" s="301">
        <v>17.503074252700017</v>
      </c>
      <c r="AC298" s="301">
        <v>33.381686554200058</v>
      </c>
      <c r="AD298" s="301">
        <v>62.226772822400122</v>
      </c>
      <c r="AE298" s="301">
        <v>155.57541180649969</v>
      </c>
      <c r="AF298" s="301">
        <v>8.1108967535000183</v>
      </c>
      <c r="AG298" s="301"/>
      <c r="AH298" s="301"/>
      <c r="AI298" s="301"/>
      <c r="AK298" s="301">
        <f t="shared" si="159"/>
        <v>17.503074252700017</v>
      </c>
      <c r="AL298" s="301">
        <f t="shared" si="160"/>
        <v>15.878612301500041</v>
      </c>
      <c r="AM298" s="301">
        <f t="shared" si="160"/>
        <v>28.845086268200063</v>
      </c>
      <c r="AN298" s="301">
        <f t="shared" si="160"/>
        <v>93.348638984099566</v>
      </c>
      <c r="AO298" s="301">
        <f t="shared" si="161"/>
        <v>8.1108967535000183</v>
      </c>
      <c r="AP298" s="301"/>
      <c r="AQ298" s="301"/>
      <c r="AR298" s="301"/>
    </row>
    <row r="299" spans="2:44" ht="15" customHeight="1" x14ac:dyDescent="0.25">
      <c r="B299" s="133" t="s">
        <v>73</v>
      </c>
      <c r="C299" s="133"/>
      <c r="D299" s="133"/>
      <c r="E299" s="133"/>
      <c r="F299" s="133"/>
      <c r="G299" s="133"/>
      <c r="H299" s="133"/>
      <c r="I299" s="133"/>
      <c r="J299" s="133"/>
      <c r="K299" s="133"/>
      <c r="L299" s="330" t="s">
        <v>17</v>
      </c>
      <c r="M299" s="330">
        <v>0.67</v>
      </c>
      <c r="N299" s="330">
        <v>0.67</v>
      </c>
      <c r="O299" s="330">
        <v>0.59</v>
      </c>
      <c r="P299" s="330">
        <v>0.61</v>
      </c>
      <c r="Q299" s="330">
        <v>0.57999999999999996</v>
      </c>
      <c r="R299" s="330">
        <v>0.73</v>
      </c>
      <c r="S299" s="330">
        <v>0.9</v>
      </c>
      <c r="T299" s="330">
        <v>0.65</v>
      </c>
      <c r="U299" s="330">
        <v>1.87</v>
      </c>
      <c r="V299" s="330">
        <v>0.71</v>
      </c>
      <c r="W299" s="330">
        <v>0.72</v>
      </c>
      <c r="X299" s="330">
        <v>2</v>
      </c>
      <c r="Y299" s="330">
        <f>AE299</f>
        <v>1.2139487965999594</v>
      </c>
      <c r="Z299" s="330"/>
      <c r="AB299" s="330">
        <v>0.61883577581466109</v>
      </c>
      <c r="AC299" s="330">
        <v>0.63301536406303638</v>
      </c>
      <c r="AD299" s="330">
        <v>0.67856675935693367</v>
      </c>
      <c r="AE299" s="330">
        <v>1.2139487965999594</v>
      </c>
      <c r="AF299" s="330">
        <v>0.46123062210248511</v>
      </c>
      <c r="AG299" s="330"/>
      <c r="AH299" s="330"/>
      <c r="AI299" s="330"/>
      <c r="AK299" s="330"/>
      <c r="AL299" s="330"/>
      <c r="AM299" s="330"/>
      <c r="AN299" s="330"/>
      <c r="AO299" s="330"/>
      <c r="AP299" s="330"/>
      <c r="AQ299" s="330"/>
      <c r="AR299" s="330"/>
    </row>
    <row r="300" spans="2:44" ht="15" customHeight="1" x14ac:dyDescent="0.25">
      <c r="B300" s="130" t="s">
        <v>74</v>
      </c>
      <c r="C300" s="130"/>
      <c r="D300" s="130"/>
      <c r="E300" s="130"/>
      <c r="F300" s="130"/>
      <c r="G300" s="130"/>
      <c r="H300" s="130"/>
      <c r="I300" s="130"/>
      <c r="J300" s="130"/>
      <c r="K300" s="130"/>
      <c r="L300" s="310">
        <v>0</v>
      </c>
      <c r="M300" s="310">
        <v>0</v>
      </c>
      <c r="N300" s="310">
        <v>0</v>
      </c>
      <c r="O300" s="310">
        <v>0.03</v>
      </c>
      <c r="P300" s="310">
        <v>0</v>
      </c>
      <c r="Q300" s="310">
        <v>0</v>
      </c>
      <c r="R300" s="310">
        <v>0</v>
      </c>
      <c r="S300" s="310">
        <v>0.01</v>
      </c>
      <c r="T300" s="310">
        <v>0</v>
      </c>
      <c r="U300" s="310">
        <v>0.01</v>
      </c>
      <c r="V300" s="310">
        <v>0.01</v>
      </c>
      <c r="W300" s="310">
        <v>-0.02</v>
      </c>
      <c r="X300" s="310">
        <v>0</v>
      </c>
      <c r="Y300" s="310">
        <f>(AE300)</f>
        <v>3.9458053634000003</v>
      </c>
      <c r="Z300" s="310"/>
      <c r="AA300" s="310"/>
      <c r="AB300" s="310">
        <v>0</v>
      </c>
      <c r="AC300" s="310">
        <v>0</v>
      </c>
      <c r="AD300" s="310">
        <v>0</v>
      </c>
      <c r="AE300" s="310">
        <v>3.9458053634000003</v>
      </c>
      <c r="AF300" s="310">
        <v>0</v>
      </c>
      <c r="AG300" s="310"/>
      <c r="AH300" s="310"/>
      <c r="AI300" s="310"/>
      <c r="AK300" s="310">
        <f>AB300</f>
        <v>0</v>
      </c>
      <c r="AL300" s="310">
        <f t="shared" ref="AL300:AN303" si="162">AC300-AB300</f>
        <v>0</v>
      </c>
      <c r="AM300" s="310">
        <f t="shared" si="162"/>
        <v>0</v>
      </c>
      <c r="AN300" s="310">
        <f t="shared" si="162"/>
        <v>3.9458053634000003</v>
      </c>
      <c r="AO300" s="310">
        <f>AF300</f>
        <v>0</v>
      </c>
      <c r="AP300" s="310"/>
      <c r="AQ300" s="310"/>
      <c r="AR300" s="310"/>
    </row>
    <row r="301" spans="2:44" ht="15" customHeight="1" x14ac:dyDescent="0.25">
      <c r="B301" s="130" t="s">
        <v>75</v>
      </c>
      <c r="C301" s="130"/>
      <c r="D301" s="130"/>
      <c r="E301" s="130"/>
      <c r="F301" s="130"/>
      <c r="G301" s="130"/>
      <c r="H301" s="130"/>
      <c r="I301" s="130"/>
      <c r="J301" s="130"/>
      <c r="K301" s="130"/>
      <c r="L301" s="310">
        <v>1.34</v>
      </c>
      <c r="M301" s="310">
        <v>4.5599999999999996</v>
      </c>
      <c r="N301" s="310">
        <v>6.32</v>
      </c>
      <c r="O301" s="310">
        <v>6.42</v>
      </c>
      <c r="P301" s="310">
        <v>5.94</v>
      </c>
      <c r="Q301" s="310">
        <v>5.0999999999999996</v>
      </c>
      <c r="R301" s="310">
        <v>8.0399999999999991</v>
      </c>
      <c r="S301" s="310">
        <v>10.31</v>
      </c>
      <c r="T301" s="310">
        <v>13.54</v>
      </c>
      <c r="U301" s="310">
        <v>15.79</v>
      </c>
      <c r="V301" s="310">
        <v>8.83</v>
      </c>
      <c r="W301" s="310">
        <v>11.04</v>
      </c>
      <c r="X301" s="310">
        <v>18.78</v>
      </c>
      <c r="Y301" s="310">
        <f>(AE301)</f>
        <v>29.991014798799984</v>
      </c>
      <c r="Z301" s="310"/>
      <c r="AA301" s="310"/>
      <c r="AB301" s="310">
        <v>7.8585759001000035</v>
      </c>
      <c r="AC301" s="310">
        <v>15.986429490300008</v>
      </c>
      <c r="AD301" s="310">
        <v>23.621157894499994</v>
      </c>
      <c r="AE301" s="310">
        <v>29.991014798799984</v>
      </c>
      <c r="AF301" s="310">
        <v>6.4251386603000018</v>
      </c>
      <c r="AG301" s="310"/>
      <c r="AH301" s="310"/>
      <c r="AI301" s="310"/>
      <c r="AK301" s="310">
        <f>AB301</f>
        <v>7.8585759001000035</v>
      </c>
      <c r="AL301" s="310">
        <f t="shared" si="162"/>
        <v>8.1278535902000044</v>
      </c>
      <c r="AM301" s="310">
        <f t="shared" si="162"/>
        <v>7.6347284041999863</v>
      </c>
      <c r="AN301" s="310">
        <f t="shared" si="162"/>
        <v>6.36985690429999</v>
      </c>
      <c r="AO301" s="310">
        <f>AF301</f>
        <v>6.4251386603000018</v>
      </c>
      <c r="AP301" s="310"/>
      <c r="AQ301" s="310"/>
      <c r="AR301" s="310"/>
    </row>
    <row r="302" spans="2:44" ht="15" customHeight="1" x14ac:dyDescent="0.25">
      <c r="B302" s="130" t="s">
        <v>76</v>
      </c>
      <c r="C302" s="130"/>
      <c r="D302" s="130"/>
      <c r="E302" s="130"/>
      <c r="F302" s="130"/>
      <c r="G302" s="130"/>
      <c r="H302" s="130"/>
      <c r="I302" s="130"/>
      <c r="J302" s="130"/>
      <c r="K302" s="130"/>
      <c r="L302" s="310">
        <v>0</v>
      </c>
      <c r="M302" s="310">
        <v>0</v>
      </c>
      <c r="N302" s="310">
        <v>0</v>
      </c>
      <c r="O302" s="310">
        <v>0</v>
      </c>
      <c r="P302" s="310">
        <v>0.03</v>
      </c>
      <c r="Q302" s="310">
        <v>0.03</v>
      </c>
      <c r="R302" s="310">
        <v>0.05</v>
      </c>
      <c r="S302" s="310">
        <v>0.06</v>
      </c>
      <c r="T302" s="310">
        <v>0.06</v>
      </c>
      <c r="U302" s="310">
        <v>0.09</v>
      </c>
      <c r="V302" s="310">
        <v>0</v>
      </c>
      <c r="W302" s="310">
        <v>0</v>
      </c>
      <c r="X302" s="310">
        <v>0</v>
      </c>
      <c r="Y302" s="310">
        <f>(AE302)</f>
        <v>0</v>
      </c>
      <c r="Z302" s="310"/>
      <c r="AA302" s="310"/>
      <c r="AB302" s="310">
        <v>0</v>
      </c>
      <c r="AC302" s="310">
        <v>0</v>
      </c>
      <c r="AD302" s="310">
        <v>0</v>
      </c>
      <c r="AE302" s="310">
        <v>0</v>
      </c>
      <c r="AF302" s="310">
        <v>0</v>
      </c>
      <c r="AG302" s="310"/>
      <c r="AH302" s="310"/>
      <c r="AI302" s="310"/>
      <c r="AK302" s="310">
        <f>AB302</f>
        <v>0</v>
      </c>
      <c r="AL302" s="310">
        <f t="shared" si="162"/>
        <v>0</v>
      </c>
      <c r="AM302" s="310">
        <f t="shared" si="162"/>
        <v>0</v>
      </c>
      <c r="AN302" s="310">
        <f t="shared" si="162"/>
        <v>0</v>
      </c>
      <c r="AO302" s="310">
        <f>AF302</f>
        <v>0</v>
      </c>
      <c r="AP302" s="310"/>
      <c r="AQ302" s="310"/>
      <c r="AR302" s="310"/>
    </row>
    <row r="303" spans="2:44" ht="15" customHeight="1" x14ac:dyDescent="0.25">
      <c r="B303" s="6" t="s">
        <v>77</v>
      </c>
      <c r="C303" s="6"/>
      <c r="D303" s="6"/>
      <c r="E303" s="6"/>
      <c r="F303" s="6"/>
      <c r="G303" s="6"/>
      <c r="H303" s="6"/>
      <c r="I303" s="6"/>
      <c r="J303" s="6"/>
      <c r="K303" s="6"/>
      <c r="L303" s="301">
        <v>-1.78</v>
      </c>
      <c r="M303" s="301">
        <v>8.5399999999999991</v>
      </c>
      <c r="N303" s="301">
        <v>10.23</v>
      </c>
      <c r="O303" s="301">
        <v>8.01</v>
      </c>
      <c r="P303" s="301">
        <v>9.3800000000000008</v>
      </c>
      <c r="Q303" s="301">
        <v>7.23</v>
      </c>
      <c r="R303" s="301">
        <v>17.079999999999998</v>
      </c>
      <c r="S303" s="301">
        <v>46.05</v>
      </c>
      <c r="T303" s="301">
        <v>19.059999999999999</v>
      </c>
      <c r="U303" s="301">
        <v>123.22</v>
      </c>
      <c r="V303" s="301">
        <v>17.149999999999999</v>
      </c>
      <c r="W303" s="301">
        <v>37.700000000000003</v>
      </c>
      <c r="X303" s="301">
        <v>158.63999999999999</v>
      </c>
      <c r="Y303" s="301">
        <f>AE303</f>
        <v>121.63859164429957</v>
      </c>
      <c r="Z303" s="301"/>
      <c r="AB303" s="301">
        <v>9.6444983526000136</v>
      </c>
      <c r="AC303" s="301">
        <v>17.395257063899894</v>
      </c>
      <c r="AD303" s="301">
        <v>38.605614927900113</v>
      </c>
      <c r="AE303" s="301">
        <v>121.63859164429957</v>
      </c>
      <c r="AF303" s="301">
        <v>1.6857580932000154</v>
      </c>
      <c r="AG303" s="301"/>
      <c r="AH303" s="301"/>
      <c r="AI303" s="301"/>
      <c r="AK303" s="301">
        <f>AB303</f>
        <v>9.6444983526000136</v>
      </c>
      <c r="AL303" s="301">
        <f t="shared" si="162"/>
        <v>7.7507587112998806</v>
      </c>
      <c r="AM303" s="301">
        <f t="shared" si="162"/>
        <v>21.210357864000219</v>
      </c>
      <c r="AN303" s="301">
        <f t="shared" si="162"/>
        <v>83.032976716399446</v>
      </c>
      <c r="AO303" s="301">
        <f>AF303</f>
        <v>1.6857580932000154</v>
      </c>
      <c r="AP303" s="301"/>
      <c r="AQ303" s="301"/>
      <c r="AR303" s="301"/>
    </row>
    <row r="306" spans="2:44" ht="15" customHeight="1" x14ac:dyDescent="0.25">
      <c r="B306" s="169" t="s">
        <v>78</v>
      </c>
      <c r="C306" s="169"/>
      <c r="D306" s="169"/>
      <c r="E306" s="169"/>
      <c r="F306" s="169"/>
      <c r="G306" s="169"/>
      <c r="H306" s="169"/>
      <c r="I306" s="169"/>
      <c r="J306" s="169"/>
      <c r="K306" s="169"/>
      <c r="L306" s="228">
        <v>2010</v>
      </c>
      <c r="M306" s="228">
        <v>2011</v>
      </c>
      <c r="N306" s="228">
        <v>2012</v>
      </c>
      <c r="O306" s="228">
        <v>2013</v>
      </c>
      <c r="P306" s="228">
        <v>2014</v>
      </c>
      <c r="Q306" s="228">
        <v>2015</v>
      </c>
      <c r="R306" s="228">
        <v>2016</v>
      </c>
      <c r="S306" s="228">
        <v>2017</v>
      </c>
      <c r="T306" s="228">
        <v>2018</v>
      </c>
      <c r="U306" s="228">
        <v>2019</v>
      </c>
      <c r="V306" s="228">
        <v>2020</v>
      </c>
      <c r="W306" s="228">
        <v>2021</v>
      </c>
      <c r="X306" s="231">
        <v>2022</v>
      </c>
      <c r="Y306" s="229">
        <v>2023</v>
      </c>
      <c r="Z306" s="230">
        <v>2024</v>
      </c>
      <c r="AB306" s="231" t="s">
        <v>291</v>
      </c>
      <c r="AC306" s="231" t="s">
        <v>292</v>
      </c>
      <c r="AD306" s="231" t="s">
        <v>293</v>
      </c>
      <c r="AE306" s="231">
        <v>2023</v>
      </c>
      <c r="AF306" s="232" t="s">
        <v>318</v>
      </c>
      <c r="AG306" s="232" t="s">
        <v>319</v>
      </c>
      <c r="AH306" s="232" t="s">
        <v>320</v>
      </c>
      <c r="AI306" s="232">
        <v>2024</v>
      </c>
      <c r="AK306" s="231" t="s">
        <v>291</v>
      </c>
      <c r="AL306" s="231" t="s">
        <v>296</v>
      </c>
      <c r="AM306" s="231" t="s">
        <v>294</v>
      </c>
      <c r="AN306" s="231" t="s">
        <v>295</v>
      </c>
      <c r="AO306" s="232" t="s">
        <v>318</v>
      </c>
      <c r="AP306" s="232" t="s">
        <v>321</v>
      </c>
      <c r="AQ306" s="232" t="s">
        <v>322</v>
      </c>
      <c r="AR306" s="232" t="s">
        <v>323</v>
      </c>
    </row>
    <row r="307" spans="2:44" ht="15" customHeight="1" x14ac:dyDescent="0.25">
      <c r="B307" s="6" t="s">
        <v>79</v>
      </c>
      <c r="C307" s="6"/>
      <c r="D307" s="6"/>
      <c r="E307" s="6"/>
      <c r="F307" s="6"/>
      <c r="G307" s="6"/>
      <c r="H307" s="6"/>
      <c r="I307" s="6"/>
      <c r="J307" s="6"/>
      <c r="K307" s="6"/>
      <c r="L307" s="301">
        <v>13.8</v>
      </c>
      <c r="M307" s="301">
        <v>83.8</v>
      </c>
      <c r="N307" s="301">
        <v>83.8</v>
      </c>
      <c r="O307" s="301">
        <v>83.8</v>
      </c>
      <c r="P307" s="301">
        <v>83.8</v>
      </c>
      <c r="Q307" s="301">
        <v>83.8</v>
      </c>
      <c r="R307" s="301">
        <v>203.8</v>
      </c>
      <c r="S307" s="301">
        <v>330.7</v>
      </c>
      <c r="T307" s="301">
        <v>467.2</v>
      </c>
      <c r="U307" s="301">
        <v>467.2</v>
      </c>
      <c r="V307" s="301">
        <v>435.7</v>
      </c>
      <c r="W307" s="301">
        <v>794.71</v>
      </c>
      <c r="X307" s="301">
        <v>1113.9100000000001</v>
      </c>
      <c r="Y307" s="301" vm="405">
        <f>AE307</f>
        <v>1164.9100000000005</v>
      </c>
      <c r="Z307" s="301"/>
      <c r="AB307" s="301" vm="125">
        <v>1113.9100000000001</v>
      </c>
      <c r="AC307" s="301" vm="158">
        <v>1113.9100000000001</v>
      </c>
      <c r="AD307" s="301" vm="321">
        <v>1113.9100000000001</v>
      </c>
      <c r="AE307" s="301" vm="405">
        <v>1164.9100000000005</v>
      </c>
      <c r="AF307" s="301" vm="600">
        <v>1164.21</v>
      </c>
      <c r="AG307" s="301"/>
      <c r="AH307" s="301"/>
      <c r="AI307" s="301"/>
      <c r="AK307" s="301"/>
      <c r="AL307" s="301"/>
      <c r="AM307" s="301"/>
      <c r="AN307" s="301"/>
      <c r="AO307" s="301"/>
      <c r="AP307" s="301"/>
      <c r="AQ307" s="301"/>
      <c r="AR307" s="301"/>
    </row>
    <row r="308" spans="2:44" ht="15" customHeight="1" x14ac:dyDescent="0.25">
      <c r="B308" s="20"/>
      <c r="C308" s="20"/>
      <c r="D308" s="20"/>
      <c r="E308" s="20"/>
      <c r="F308" s="20"/>
      <c r="G308" s="20"/>
      <c r="H308" s="20"/>
      <c r="I308" s="20"/>
      <c r="J308" s="20"/>
      <c r="K308" s="20"/>
      <c r="Q308" s="315"/>
      <c r="R308" s="315"/>
      <c r="S308" s="315"/>
      <c r="T308" s="315"/>
      <c r="U308" s="315"/>
      <c r="W308" s="223"/>
    </row>
    <row r="309" spans="2:44" ht="15" customHeight="1" x14ac:dyDescent="0.25">
      <c r="B309" s="39" t="s">
        <v>245</v>
      </c>
      <c r="C309" s="39"/>
      <c r="D309" s="39"/>
      <c r="E309" s="39"/>
      <c r="F309" s="39"/>
      <c r="G309" s="39"/>
      <c r="H309" s="39"/>
      <c r="I309" s="39"/>
      <c r="J309" s="39"/>
      <c r="K309" s="39"/>
      <c r="L309" s="325">
        <v>0.26</v>
      </c>
      <c r="M309" s="325">
        <v>0.35</v>
      </c>
      <c r="N309" s="325">
        <v>0.31</v>
      </c>
      <c r="O309" s="325">
        <v>0.31</v>
      </c>
      <c r="P309" s="325">
        <v>0.32</v>
      </c>
      <c r="Q309" s="325">
        <v>0.3</v>
      </c>
      <c r="R309" s="325">
        <v>0.35</v>
      </c>
      <c r="S309" s="325">
        <v>0.43</v>
      </c>
      <c r="T309" s="325">
        <v>0.4</v>
      </c>
      <c r="U309" s="325">
        <v>0.43</v>
      </c>
      <c r="V309" s="325">
        <v>0.38</v>
      </c>
      <c r="W309" s="325">
        <v>0.41</v>
      </c>
      <c r="X309" s="325">
        <v>0.39</v>
      </c>
      <c r="Y309" s="325" vm="407">
        <f>AE309</f>
        <v>0.40756977604240718</v>
      </c>
      <c r="Z309" s="325"/>
      <c r="AB309" s="325" vm="108">
        <v>0.26843282250953593</v>
      </c>
      <c r="AC309" s="325" vm="402">
        <v>0.32267147971699905</v>
      </c>
      <c r="AD309" s="325" vm="322">
        <v>0.38502090682924689</v>
      </c>
      <c r="AE309" s="325" vm="407">
        <v>0.40756977604240718</v>
      </c>
      <c r="AF309" s="325" vm="623">
        <v>0.28571248695807872</v>
      </c>
      <c r="AG309" s="325"/>
      <c r="AH309" s="325"/>
      <c r="AI309" s="325"/>
      <c r="AK309" s="325"/>
      <c r="AL309" s="325"/>
      <c r="AM309" s="325"/>
      <c r="AN309" s="325"/>
      <c r="AO309" s="325"/>
      <c r="AP309" s="325"/>
      <c r="AQ309" s="325"/>
      <c r="AR309" s="325"/>
    </row>
    <row r="310" spans="2:44" ht="15" customHeight="1" x14ac:dyDescent="0.25">
      <c r="B310" s="130"/>
      <c r="C310" s="130"/>
      <c r="D310" s="130"/>
      <c r="E310" s="130"/>
      <c r="F310" s="130"/>
      <c r="G310" s="130"/>
      <c r="H310" s="130"/>
      <c r="I310" s="130"/>
      <c r="J310" s="130"/>
      <c r="K310" s="130"/>
      <c r="Q310" s="315"/>
      <c r="R310" s="315"/>
      <c r="S310" s="315"/>
      <c r="T310" s="315"/>
      <c r="U310" s="315"/>
      <c r="W310" s="223"/>
    </row>
    <row r="311" spans="2:44" ht="15" customHeight="1" x14ac:dyDescent="0.25">
      <c r="B311" s="39" t="s">
        <v>246</v>
      </c>
      <c r="C311" s="39"/>
      <c r="D311" s="39"/>
      <c r="E311" s="39"/>
      <c r="F311" s="39"/>
      <c r="G311" s="39"/>
      <c r="H311" s="39"/>
      <c r="I311" s="39"/>
      <c r="J311" s="39"/>
      <c r="K311" s="39"/>
      <c r="L311" s="331">
        <v>30.78</v>
      </c>
      <c r="M311" s="301">
        <v>169.63</v>
      </c>
      <c r="N311" s="301">
        <v>231.26</v>
      </c>
      <c r="O311" s="301">
        <v>229.8</v>
      </c>
      <c r="P311" s="301">
        <v>235.93</v>
      </c>
      <c r="Q311" s="301">
        <v>222.35</v>
      </c>
      <c r="R311" s="301">
        <v>666.17</v>
      </c>
      <c r="S311" s="301">
        <v>861.25</v>
      </c>
      <c r="T311" s="301">
        <v>1234.98</v>
      </c>
      <c r="U311" s="301">
        <v>1757.3</v>
      </c>
      <c r="V311" s="301">
        <v>1092.6099999999999</v>
      </c>
      <c r="W311" s="301">
        <v>1887.6</v>
      </c>
      <c r="X311" s="301">
        <v>2624.86</v>
      </c>
      <c r="Y311" s="301">
        <f>AE311</f>
        <v>4483.3927465910201</v>
      </c>
      <c r="Z311" s="301"/>
      <c r="AB311" s="301">
        <v>1332.2888702600601</v>
      </c>
      <c r="AC311" s="301">
        <v>2209.7394912867699</v>
      </c>
      <c r="AD311" s="301">
        <v>3354.0633061011099</v>
      </c>
      <c r="AE311" s="301">
        <v>4483.3927465910201</v>
      </c>
      <c r="AF311" s="301">
        <v>607.2993899999999</v>
      </c>
      <c r="AG311" s="301"/>
      <c r="AH311" s="301"/>
      <c r="AI311" s="301"/>
      <c r="AK311" s="301">
        <f>AB311</f>
        <v>1332.2888702600601</v>
      </c>
      <c r="AL311" s="301">
        <f>AC311-AB311</f>
        <v>877.45062102670977</v>
      </c>
      <c r="AM311" s="301">
        <f>AD311-AC311</f>
        <v>1144.32381481434</v>
      </c>
      <c r="AN311" s="301">
        <f>AE311-AD311</f>
        <v>1129.3294404899102</v>
      </c>
      <c r="AO311" s="301">
        <f>AF311</f>
        <v>607.2993899999999</v>
      </c>
      <c r="AP311" s="260"/>
      <c r="AQ311" s="260"/>
      <c r="AR311" s="260"/>
    </row>
    <row r="312" spans="2:44" ht="15" customHeight="1" x14ac:dyDescent="0.25">
      <c r="B312" s="130"/>
      <c r="C312" s="130"/>
      <c r="D312" s="130"/>
      <c r="E312" s="130"/>
      <c r="F312" s="130"/>
      <c r="G312" s="130"/>
      <c r="H312" s="130"/>
      <c r="I312" s="130"/>
      <c r="J312" s="130"/>
      <c r="K312" s="130"/>
      <c r="M312" s="301"/>
      <c r="N312" s="301"/>
      <c r="O312" s="301"/>
      <c r="P312" s="301"/>
      <c r="Q312" s="301"/>
      <c r="R312" s="301"/>
      <c r="S312" s="301"/>
      <c r="T312" s="301"/>
      <c r="U312" s="301"/>
      <c r="V312" s="301"/>
      <c r="W312" s="301"/>
      <c r="X312" s="301"/>
      <c r="Y312" s="301"/>
      <c r="Z312" s="301"/>
      <c r="AB312" s="301"/>
      <c r="AC312" s="301"/>
      <c r="AD312" s="301"/>
      <c r="AE312" s="301"/>
      <c r="AF312" s="301"/>
      <c r="AG312" s="301"/>
      <c r="AH312" s="301"/>
      <c r="AI312" s="301"/>
      <c r="AK312" s="301"/>
      <c r="AL312" s="301"/>
      <c r="AM312" s="301"/>
      <c r="AN312" s="301"/>
      <c r="AO312" s="301"/>
      <c r="AP312" s="301"/>
      <c r="AQ312" s="301"/>
      <c r="AR312" s="301"/>
    </row>
    <row r="313" spans="2:44" ht="15" customHeight="1" x14ac:dyDescent="0.25">
      <c r="B313" s="39" t="s">
        <v>93</v>
      </c>
      <c r="C313" s="39"/>
      <c r="D313" s="39"/>
      <c r="E313" s="39"/>
      <c r="F313" s="39"/>
      <c r="G313" s="39"/>
      <c r="H313" s="39"/>
      <c r="I313" s="39"/>
      <c r="J313" s="39"/>
      <c r="K313" s="39"/>
      <c r="L313" s="301">
        <v>254.43</v>
      </c>
      <c r="M313" s="301">
        <v>278.41000000000003</v>
      </c>
      <c r="N313" s="301">
        <v>286.39</v>
      </c>
      <c r="O313" s="301">
        <v>309.20999999999998</v>
      </c>
      <c r="P313" s="301">
        <v>346.36</v>
      </c>
      <c r="Q313" s="301">
        <v>370.37</v>
      </c>
      <c r="R313" s="301">
        <v>216.09</v>
      </c>
      <c r="S313" s="301">
        <v>288.79000000000002</v>
      </c>
      <c r="T313" s="301">
        <v>195.39</v>
      </c>
      <c r="U313" s="301">
        <v>205.32</v>
      </c>
      <c r="V313" s="301">
        <v>217.56</v>
      </c>
      <c r="W313" s="301">
        <v>245.52</v>
      </c>
      <c r="X313" s="301">
        <v>219.19</v>
      </c>
      <c r="Y313" s="301">
        <f>AE313</f>
        <v>172.99432750667455</v>
      </c>
      <c r="Z313" s="301"/>
      <c r="AB313" s="301">
        <v>132.43079788862269</v>
      </c>
      <c r="AC313" s="301">
        <v>148.36250118656389</v>
      </c>
      <c r="AD313" s="301">
        <v>166.25786472666996</v>
      </c>
      <c r="AE313" s="301">
        <v>172.99432750667455</v>
      </c>
      <c r="AF313" s="301" vm="563">
        <v>39.772319200254742</v>
      </c>
      <c r="AG313" s="301"/>
      <c r="AH313" s="301"/>
      <c r="AI313" s="301"/>
      <c r="AK313" s="301"/>
      <c r="AL313" s="301"/>
      <c r="AM313" s="301"/>
      <c r="AN313" s="301"/>
      <c r="AO313" s="301"/>
      <c r="AP313" s="301"/>
      <c r="AQ313" s="301"/>
      <c r="AR313" s="301"/>
    </row>
    <row r="315" spans="2:44" ht="30" customHeight="1" x14ac:dyDescent="0.25">
      <c r="B315" s="181" t="s">
        <v>48</v>
      </c>
      <c r="C315" s="181"/>
      <c r="D315" s="181"/>
      <c r="E315" s="181"/>
      <c r="F315" s="181"/>
      <c r="G315" s="181"/>
      <c r="H315" s="181"/>
      <c r="I315" s="181"/>
      <c r="J315" s="181"/>
      <c r="K315" s="181"/>
      <c r="L315" s="224"/>
      <c r="M315" s="224"/>
      <c r="N315" s="224"/>
      <c r="O315" s="224"/>
      <c r="P315" s="224"/>
      <c r="Q315" s="224"/>
      <c r="R315" s="224"/>
      <c r="S315" s="224"/>
      <c r="T315" s="224"/>
      <c r="U315" s="224"/>
      <c r="V315" s="225"/>
    </row>
    <row r="316" spans="2:44" ht="15" customHeight="1" x14ac:dyDescent="0.25">
      <c r="B316" s="169" t="s">
        <v>40</v>
      </c>
      <c r="C316" s="169"/>
      <c r="D316" s="169"/>
      <c r="E316" s="169"/>
      <c r="F316" s="169"/>
      <c r="G316" s="169"/>
      <c r="H316" s="169"/>
      <c r="I316" s="169"/>
      <c r="J316" s="169"/>
      <c r="K316" s="169"/>
      <c r="L316" s="228">
        <v>2010</v>
      </c>
      <c r="M316" s="228">
        <v>2011</v>
      </c>
      <c r="N316" s="228">
        <v>2012</v>
      </c>
      <c r="O316" s="228">
        <v>2013</v>
      </c>
      <c r="P316" s="228">
        <v>2014</v>
      </c>
      <c r="Q316" s="228">
        <v>2015</v>
      </c>
      <c r="R316" s="228">
        <v>2016</v>
      </c>
      <c r="S316" s="228">
        <v>2017</v>
      </c>
      <c r="T316" s="228">
        <v>2018</v>
      </c>
      <c r="U316" s="228">
        <v>2019</v>
      </c>
      <c r="V316" s="228">
        <v>2020</v>
      </c>
      <c r="W316" s="228">
        <v>2021</v>
      </c>
      <c r="X316" s="231">
        <v>2022</v>
      </c>
      <c r="Y316" s="229">
        <v>2023</v>
      </c>
      <c r="Z316" s="230">
        <v>2024</v>
      </c>
      <c r="AB316" s="231" t="s">
        <v>291</v>
      </c>
      <c r="AC316" s="231" t="s">
        <v>292</v>
      </c>
      <c r="AD316" s="231" t="s">
        <v>293</v>
      </c>
      <c r="AE316" s="231">
        <v>2023</v>
      </c>
      <c r="AF316" s="232" t="s">
        <v>318</v>
      </c>
      <c r="AG316" s="232" t="s">
        <v>319</v>
      </c>
      <c r="AH316" s="232" t="s">
        <v>320</v>
      </c>
      <c r="AI316" s="232">
        <v>2024</v>
      </c>
      <c r="AK316" s="231" t="s">
        <v>291</v>
      </c>
      <c r="AL316" s="231" t="s">
        <v>296</v>
      </c>
      <c r="AM316" s="231" t="s">
        <v>294</v>
      </c>
      <c r="AN316" s="231" t="s">
        <v>295</v>
      </c>
      <c r="AO316" s="232" t="s">
        <v>318</v>
      </c>
      <c r="AP316" s="232" t="s">
        <v>321</v>
      </c>
      <c r="AQ316" s="232" t="s">
        <v>322</v>
      </c>
      <c r="AR316" s="232" t="s">
        <v>323</v>
      </c>
    </row>
    <row r="317" spans="2:44" ht="15" customHeight="1" x14ac:dyDescent="0.25">
      <c r="B317" s="40" t="s">
        <v>16</v>
      </c>
      <c r="C317" s="40"/>
      <c r="D317" s="40"/>
      <c r="E317" s="40"/>
      <c r="F317" s="40"/>
      <c r="G317" s="40"/>
      <c r="H317" s="40"/>
      <c r="I317" s="40"/>
      <c r="J317" s="40"/>
      <c r="K317" s="40"/>
      <c r="L317" s="301">
        <v>0</v>
      </c>
      <c r="M317" s="301">
        <v>0</v>
      </c>
      <c r="N317" s="301">
        <v>0</v>
      </c>
      <c r="O317" s="301">
        <v>0</v>
      </c>
      <c r="P317" s="301">
        <v>0</v>
      </c>
      <c r="Q317" s="301">
        <v>0</v>
      </c>
      <c r="R317" s="301">
        <v>0</v>
      </c>
      <c r="S317" s="301">
        <v>0</v>
      </c>
      <c r="T317" s="301">
        <v>0</v>
      </c>
      <c r="U317" s="301">
        <v>0</v>
      </c>
      <c r="V317" s="301">
        <v>0</v>
      </c>
      <c r="W317" s="301">
        <v>0</v>
      </c>
      <c r="X317" s="301">
        <v>84.52</v>
      </c>
      <c r="Y317" s="301">
        <f>AE317</f>
        <v>114.48907852699983</v>
      </c>
      <c r="Z317" s="301"/>
      <c r="AB317" s="301">
        <v>30.177536119799999</v>
      </c>
      <c r="AC317" s="301">
        <v>60.083645956900092</v>
      </c>
      <c r="AD317" s="301">
        <v>89.886599632900058</v>
      </c>
      <c r="AE317" s="301">
        <v>114.48907852699983</v>
      </c>
      <c r="AF317" s="301">
        <v>32.806158963299993</v>
      </c>
      <c r="AG317" s="301"/>
      <c r="AH317" s="301"/>
      <c r="AI317" s="301"/>
      <c r="AK317" s="301">
        <f t="shared" ref="AK317:AK329" si="163">AB317</f>
        <v>30.177536119799999</v>
      </c>
      <c r="AL317" s="301">
        <f t="shared" ref="AL317:AL329" si="164">AC317-AB317</f>
        <v>29.906109837100093</v>
      </c>
      <c r="AM317" s="301">
        <f t="shared" ref="AM317:AM329" si="165">AD317-AC317</f>
        <v>29.802953675999966</v>
      </c>
      <c r="AN317" s="301">
        <f t="shared" ref="AN317:AN329" si="166">AE317-AD317</f>
        <v>24.602478894099775</v>
      </c>
      <c r="AO317" s="301">
        <f t="shared" ref="AO317:AO329" si="167">AF317</f>
        <v>32.806158963299993</v>
      </c>
      <c r="AP317" s="260"/>
      <c r="AQ317" s="260"/>
      <c r="AR317" s="260"/>
    </row>
    <row r="318" spans="2:44" ht="15" customHeight="1" x14ac:dyDescent="0.25">
      <c r="B318" s="131" t="s">
        <v>66</v>
      </c>
      <c r="C318" s="131"/>
      <c r="D318" s="131"/>
      <c r="E318" s="131"/>
      <c r="F318" s="131"/>
      <c r="G318" s="131"/>
      <c r="H318" s="131"/>
      <c r="I318" s="131"/>
      <c r="J318" s="131"/>
      <c r="K318" s="131"/>
      <c r="L318" s="310">
        <v>0</v>
      </c>
      <c r="M318" s="310">
        <v>0</v>
      </c>
      <c r="N318" s="310">
        <v>0</v>
      </c>
      <c r="O318" s="310">
        <v>0</v>
      </c>
      <c r="P318" s="310">
        <v>0</v>
      </c>
      <c r="Q318" s="310">
        <v>0</v>
      </c>
      <c r="R318" s="310">
        <v>0</v>
      </c>
      <c r="S318" s="310">
        <v>0</v>
      </c>
      <c r="T318" s="310">
        <v>0</v>
      </c>
      <c r="U318" s="310">
        <v>0</v>
      </c>
      <c r="V318" s="310">
        <v>0</v>
      </c>
      <c r="W318" s="310">
        <v>0</v>
      </c>
      <c r="X318" s="310">
        <v>2.65</v>
      </c>
      <c r="Y318" s="310">
        <f>AE318</f>
        <v>1.2755271621999977</v>
      </c>
      <c r="Z318" s="310"/>
      <c r="AB318" s="310">
        <v>0.81479518279999985</v>
      </c>
      <c r="AC318" s="310">
        <v>0.58866109490000018</v>
      </c>
      <c r="AD318" s="310">
        <v>1.5719598412999998</v>
      </c>
      <c r="AE318" s="310">
        <v>1.2755271621999977</v>
      </c>
      <c r="AF318" s="310">
        <v>0.30053288109999993</v>
      </c>
      <c r="AG318" s="310"/>
      <c r="AH318" s="310"/>
      <c r="AI318" s="310"/>
      <c r="AK318" s="310">
        <f t="shared" si="163"/>
        <v>0.81479518279999985</v>
      </c>
      <c r="AL318" s="310">
        <f t="shared" si="164"/>
        <v>-0.22613408789999967</v>
      </c>
      <c r="AM318" s="310">
        <f t="shared" si="165"/>
        <v>0.98329874639999959</v>
      </c>
      <c r="AN318" s="310">
        <f t="shared" si="166"/>
        <v>-0.29643267910000204</v>
      </c>
      <c r="AO318" s="310">
        <f t="shared" si="167"/>
        <v>0.30053288109999993</v>
      </c>
      <c r="AP318" s="310"/>
      <c r="AQ318" s="310"/>
      <c r="AR318" s="310"/>
    </row>
    <row r="319" spans="2:44" ht="15" customHeight="1" x14ac:dyDescent="0.25">
      <c r="B319" s="131" t="s">
        <v>67</v>
      </c>
      <c r="C319" s="131"/>
      <c r="D319" s="131"/>
      <c r="E319" s="131"/>
      <c r="F319" s="131"/>
      <c r="G319" s="131"/>
      <c r="H319" s="131"/>
      <c r="I319" s="131"/>
      <c r="J319" s="131"/>
      <c r="K319" s="131"/>
      <c r="L319" s="310">
        <v>0</v>
      </c>
      <c r="M319" s="310">
        <v>0</v>
      </c>
      <c r="N319" s="310">
        <v>0</v>
      </c>
      <c r="O319" s="310">
        <v>0</v>
      </c>
      <c r="P319" s="310">
        <v>0</v>
      </c>
      <c r="Q319" s="310">
        <v>0</v>
      </c>
      <c r="R319" s="310">
        <v>0</v>
      </c>
      <c r="S319" s="310">
        <v>0</v>
      </c>
      <c r="T319" s="310">
        <v>0</v>
      </c>
      <c r="U319" s="310">
        <v>0</v>
      </c>
      <c r="V319" s="310">
        <v>0</v>
      </c>
      <c r="W319" s="310">
        <v>0</v>
      </c>
      <c r="X319" s="310">
        <v>52.05</v>
      </c>
      <c r="Y319" s="310">
        <f>(AE319)*-1</f>
        <v>-50.776068871200145</v>
      </c>
      <c r="Z319" s="310"/>
      <c r="AA319" s="310"/>
      <c r="AB319" s="310">
        <v>14.158704722200003</v>
      </c>
      <c r="AC319" s="310">
        <v>26.258038111099992</v>
      </c>
      <c r="AD319" s="310">
        <v>39.69966315309987</v>
      </c>
      <c r="AE319" s="310">
        <v>50.776068871200145</v>
      </c>
      <c r="AF319" s="310">
        <v>14.163853280200009</v>
      </c>
      <c r="AG319" s="310"/>
      <c r="AH319" s="310"/>
      <c r="AI319" s="310"/>
      <c r="AK319" s="310">
        <f t="shared" si="163"/>
        <v>14.158704722200003</v>
      </c>
      <c r="AL319" s="310">
        <f t="shared" si="164"/>
        <v>12.099333388899989</v>
      </c>
      <c r="AM319" s="310">
        <f t="shared" si="165"/>
        <v>13.441625041999878</v>
      </c>
      <c r="AN319" s="310">
        <f t="shared" si="166"/>
        <v>11.076405718100276</v>
      </c>
      <c r="AO319" s="310">
        <f t="shared" si="167"/>
        <v>14.163853280200009</v>
      </c>
      <c r="AP319" s="310"/>
      <c r="AQ319" s="310"/>
      <c r="AR319" s="310"/>
    </row>
    <row r="320" spans="2:44" ht="15" customHeight="1" x14ac:dyDescent="0.25">
      <c r="B320" s="132" t="s">
        <v>68</v>
      </c>
      <c r="C320" s="132"/>
      <c r="D320" s="132"/>
      <c r="E320" s="132"/>
      <c r="F320" s="132"/>
      <c r="G320" s="132"/>
      <c r="H320" s="132"/>
      <c r="I320" s="132"/>
      <c r="J320" s="132"/>
      <c r="K320" s="132"/>
      <c r="L320" s="310">
        <v>0</v>
      </c>
      <c r="M320" s="310">
        <v>0</v>
      </c>
      <c r="N320" s="310">
        <v>0</v>
      </c>
      <c r="O320" s="310">
        <v>0</v>
      </c>
      <c r="P320" s="310">
        <v>0</v>
      </c>
      <c r="Q320" s="310">
        <v>0</v>
      </c>
      <c r="R320" s="310">
        <v>0</v>
      </c>
      <c r="S320" s="310">
        <v>0</v>
      </c>
      <c r="T320" s="310">
        <v>0</v>
      </c>
      <c r="U320" s="310">
        <v>0</v>
      </c>
      <c r="V320" s="310">
        <v>0</v>
      </c>
      <c r="W320" s="310">
        <v>0</v>
      </c>
      <c r="X320" s="310">
        <v>29.9</v>
      </c>
      <c r="Y320" s="310">
        <f>(AE320)*-1</f>
        <v>-30.124504253000147</v>
      </c>
      <c r="Z320" s="310"/>
      <c r="AA320" s="310"/>
      <c r="AB320" s="310">
        <v>7.2517865556999963</v>
      </c>
      <c r="AC320" s="310">
        <v>12.797034499899986</v>
      </c>
      <c r="AD320" s="310">
        <v>20.042373408999943</v>
      </c>
      <c r="AE320" s="310">
        <v>30.124504253000147</v>
      </c>
      <c r="AF320" s="310">
        <v>7.1352827889000086</v>
      </c>
      <c r="AG320" s="310"/>
      <c r="AH320" s="310"/>
      <c r="AI320" s="310"/>
      <c r="AK320" s="310">
        <f t="shared" si="163"/>
        <v>7.2517865556999963</v>
      </c>
      <c r="AL320" s="310">
        <f t="shared" si="164"/>
        <v>5.54524794419999</v>
      </c>
      <c r="AM320" s="310">
        <f t="shared" si="165"/>
        <v>7.2453389090999565</v>
      </c>
      <c r="AN320" s="310">
        <f t="shared" si="166"/>
        <v>10.082130844000204</v>
      </c>
      <c r="AO320" s="310">
        <f t="shared" si="167"/>
        <v>7.1352827889000086</v>
      </c>
      <c r="AP320" s="310"/>
      <c r="AQ320" s="310"/>
      <c r="AR320" s="310"/>
    </row>
    <row r="321" spans="2:44" ht="15" customHeight="1" x14ac:dyDescent="0.25">
      <c r="B321" s="132" t="s">
        <v>69</v>
      </c>
      <c r="C321" s="132"/>
      <c r="D321" s="132"/>
      <c r="E321" s="132"/>
      <c r="F321" s="132"/>
      <c r="G321" s="132"/>
      <c r="H321" s="132"/>
      <c r="I321" s="132"/>
      <c r="J321" s="132"/>
      <c r="K321" s="132"/>
      <c r="L321" s="310">
        <v>0</v>
      </c>
      <c r="M321" s="310">
        <v>0</v>
      </c>
      <c r="N321" s="310">
        <v>0</v>
      </c>
      <c r="O321" s="310">
        <v>0</v>
      </c>
      <c r="P321" s="310">
        <v>0</v>
      </c>
      <c r="Q321" s="310">
        <v>0</v>
      </c>
      <c r="R321" s="310">
        <v>0</v>
      </c>
      <c r="S321" s="310">
        <v>0</v>
      </c>
      <c r="T321" s="310">
        <v>0</v>
      </c>
      <c r="U321" s="310">
        <v>0</v>
      </c>
      <c r="V321" s="310">
        <v>0</v>
      </c>
      <c r="W321" s="310">
        <v>0</v>
      </c>
      <c r="X321" s="310">
        <v>21.13</v>
      </c>
      <c r="Y321" s="310">
        <f>(AE321)*-1</f>
        <v>-16.437771356799949</v>
      </c>
      <c r="Z321" s="310"/>
      <c r="AA321" s="310"/>
      <c r="AB321" s="310">
        <v>7.3496108143000036</v>
      </c>
      <c r="AC321" s="310">
        <v>13.004981061700009</v>
      </c>
      <c r="AD321" s="310">
        <v>18.182365972300012</v>
      </c>
      <c r="AE321" s="310">
        <v>16.437771356799949</v>
      </c>
      <c r="AF321" s="310">
        <v>5.7206539102000002</v>
      </c>
      <c r="AG321" s="310"/>
      <c r="AH321" s="310"/>
      <c r="AI321" s="310"/>
      <c r="AK321" s="310">
        <f t="shared" si="163"/>
        <v>7.3496108143000036</v>
      </c>
      <c r="AL321" s="310">
        <f t="shared" si="164"/>
        <v>5.6553702474000058</v>
      </c>
      <c r="AM321" s="310">
        <f t="shared" si="165"/>
        <v>5.1773849106000025</v>
      </c>
      <c r="AN321" s="310">
        <f t="shared" si="166"/>
        <v>-1.7445946155000627</v>
      </c>
      <c r="AO321" s="310">
        <f t="shared" si="167"/>
        <v>5.7206539102000002</v>
      </c>
      <c r="AP321" s="310"/>
      <c r="AQ321" s="310"/>
      <c r="AR321" s="310"/>
    </row>
    <row r="322" spans="2:44" ht="15" customHeight="1" x14ac:dyDescent="0.25">
      <c r="B322" s="132" t="s">
        <v>70</v>
      </c>
      <c r="C322" s="132"/>
      <c r="D322" s="132"/>
      <c r="E322" s="132"/>
      <c r="F322" s="132"/>
      <c r="G322" s="132"/>
      <c r="H322" s="132"/>
      <c r="I322" s="132"/>
      <c r="J322" s="132"/>
      <c r="K322" s="132"/>
      <c r="L322" s="310">
        <v>0</v>
      </c>
      <c r="M322" s="310">
        <v>0</v>
      </c>
      <c r="N322" s="310">
        <v>0</v>
      </c>
      <c r="O322" s="310">
        <v>0</v>
      </c>
      <c r="P322" s="310">
        <v>0</v>
      </c>
      <c r="Q322" s="310">
        <v>0</v>
      </c>
      <c r="R322" s="310">
        <v>0</v>
      </c>
      <c r="S322" s="310">
        <v>0</v>
      </c>
      <c r="T322" s="310">
        <v>0</v>
      </c>
      <c r="U322" s="310">
        <v>0</v>
      </c>
      <c r="V322" s="310">
        <v>0</v>
      </c>
      <c r="W322" s="310">
        <v>0</v>
      </c>
      <c r="X322" s="310">
        <v>1.02</v>
      </c>
      <c r="Y322" s="310">
        <f>(AE322)*-1</f>
        <v>-4.2137932614000473</v>
      </c>
      <c r="Z322" s="310"/>
      <c r="AA322" s="310"/>
      <c r="AB322" s="310">
        <v>-0.4426926477999984</v>
      </c>
      <c r="AC322" s="310">
        <v>0.45602254949999993</v>
      </c>
      <c r="AD322" s="310">
        <v>1.4749237717999146</v>
      </c>
      <c r="AE322" s="310">
        <v>4.2137932614000473</v>
      </c>
      <c r="AF322" s="310">
        <v>1.3079165810999995</v>
      </c>
      <c r="AG322" s="310"/>
      <c r="AH322" s="310"/>
      <c r="AI322" s="310"/>
      <c r="AK322" s="310">
        <f t="shared" si="163"/>
        <v>-0.4426926477999984</v>
      </c>
      <c r="AL322" s="310">
        <f t="shared" si="164"/>
        <v>0.89871519729999827</v>
      </c>
      <c r="AM322" s="310">
        <f t="shared" si="165"/>
        <v>1.0189012222999148</v>
      </c>
      <c r="AN322" s="310">
        <f t="shared" si="166"/>
        <v>2.7388694896001327</v>
      </c>
      <c r="AO322" s="310">
        <f t="shared" si="167"/>
        <v>1.3079165810999995</v>
      </c>
      <c r="AP322" s="310"/>
      <c r="AQ322" s="310"/>
      <c r="AR322" s="310"/>
    </row>
    <row r="323" spans="2:44" ht="15" customHeight="1" x14ac:dyDescent="0.25">
      <c r="B323" s="131" t="s">
        <v>71</v>
      </c>
      <c r="C323" s="131"/>
      <c r="D323" s="131"/>
      <c r="E323" s="131"/>
      <c r="F323" s="131"/>
      <c r="G323" s="131"/>
      <c r="H323" s="131"/>
      <c r="I323" s="131"/>
      <c r="J323" s="131"/>
      <c r="K323" s="131"/>
      <c r="L323" s="310">
        <v>0</v>
      </c>
      <c r="M323" s="310">
        <v>0</v>
      </c>
      <c r="N323" s="310">
        <v>0</v>
      </c>
      <c r="O323" s="310">
        <v>0</v>
      </c>
      <c r="P323" s="310">
        <v>0</v>
      </c>
      <c r="Q323" s="310">
        <v>0</v>
      </c>
      <c r="R323" s="310">
        <v>0</v>
      </c>
      <c r="S323" s="310">
        <v>0</v>
      </c>
      <c r="T323" s="310">
        <v>0</v>
      </c>
      <c r="U323" s="310">
        <v>0</v>
      </c>
      <c r="V323" s="310">
        <v>0</v>
      </c>
      <c r="W323" s="310">
        <v>0</v>
      </c>
      <c r="X323" s="310">
        <v>-0.35</v>
      </c>
      <c r="Y323" s="310">
        <f t="shared" ref="Y323:Y329" si="168">AE323</f>
        <v>3.1309067142000004</v>
      </c>
      <c r="Z323" s="310"/>
      <c r="AB323" s="310">
        <v>4.0112090000000024E-2</v>
      </c>
      <c r="AC323" s="310">
        <v>0.23947699549999985</v>
      </c>
      <c r="AD323" s="310">
        <v>3.5686805116999989</v>
      </c>
      <c r="AE323" s="310">
        <v>3.1309067142000004</v>
      </c>
      <c r="AF323" s="310">
        <v>3.2048259999999988E-2</v>
      </c>
      <c r="AG323" s="310"/>
      <c r="AH323" s="310"/>
      <c r="AI323" s="310"/>
      <c r="AK323" s="310">
        <f t="shared" si="163"/>
        <v>4.0112090000000024E-2</v>
      </c>
      <c r="AL323" s="310">
        <f t="shared" si="164"/>
        <v>0.19936490549999983</v>
      </c>
      <c r="AM323" s="310">
        <f t="shared" si="165"/>
        <v>3.3292035161999989</v>
      </c>
      <c r="AN323" s="310">
        <f t="shared" si="166"/>
        <v>-0.43777379749999845</v>
      </c>
      <c r="AO323" s="310">
        <f t="shared" si="167"/>
        <v>3.2048259999999988E-2</v>
      </c>
      <c r="AP323" s="310"/>
      <c r="AQ323" s="310"/>
      <c r="AR323" s="310"/>
    </row>
    <row r="324" spans="2:44" ht="15" customHeight="1" x14ac:dyDescent="0.25">
      <c r="B324" s="40" t="s">
        <v>72</v>
      </c>
      <c r="C324" s="40"/>
      <c r="D324" s="40"/>
      <c r="E324" s="40"/>
      <c r="F324" s="40"/>
      <c r="G324" s="40"/>
      <c r="H324" s="40"/>
      <c r="I324" s="40"/>
      <c r="J324" s="40"/>
      <c r="K324" s="40"/>
      <c r="L324" s="301">
        <v>0</v>
      </c>
      <c r="M324" s="301">
        <v>0</v>
      </c>
      <c r="N324" s="301">
        <v>0</v>
      </c>
      <c r="O324" s="301">
        <v>0</v>
      </c>
      <c r="P324" s="301">
        <v>0</v>
      </c>
      <c r="Q324" s="301">
        <v>0</v>
      </c>
      <c r="R324" s="301">
        <v>0</v>
      </c>
      <c r="S324" s="301">
        <v>0</v>
      </c>
      <c r="T324" s="301">
        <v>0</v>
      </c>
      <c r="U324" s="301">
        <v>0</v>
      </c>
      <c r="V324" s="301">
        <v>0</v>
      </c>
      <c r="W324" s="301">
        <v>0</v>
      </c>
      <c r="X324" s="301">
        <v>34.76</v>
      </c>
      <c r="Y324" s="301">
        <f t="shared" si="168"/>
        <v>68.119443532199881</v>
      </c>
      <c r="Z324" s="301"/>
      <c r="AB324" s="301">
        <v>16.873738670400044</v>
      </c>
      <c r="AC324" s="301">
        <v>34.65374593620011</v>
      </c>
      <c r="AD324" s="301">
        <v>55.327576832799927</v>
      </c>
      <c r="AE324" s="301">
        <v>68.119443532199881</v>
      </c>
      <c r="AF324" s="301">
        <v>18.974886824199999</v>
      </c>
      <c r="AG324" s="301"/>
      <c r="AH324" s="301"/>
      <c r="AI324" s="301"/>
      <c r="AK324" s="301">
        <f t="shared" si="163"/>
        <v>16.873738670400044</v>
      </c>
      <c r="AL324" s="301">
        <f t="shared" si="164"/>
        <v>17.780007265800066</v>
      </c>
      <c r="AM324" s="301">
        <f t="shared" si="165"/>
        <v>20.673830896599817</v>
      </c>
      <c r="AN324" s="301">
        <f t="shared" si="166"/>
        <v>12.791866699399954</v>
      </c>
      <c r="AO324" s="301">
        <f t="shared" si="167"/>
        <v>18.974886824199999</v>
      </c>
      <c r="AP324" s="310"/>
      <c r="AQ324" s="310"/>
      <c r="AR324" s="310"/>
    </row>
    <row r="325" spans="2:44" ht="15" customHeight="1" x14ac:dyDescent="0.25">
      <c r="B325" s="133" t="s">
        <v>73</v>
      </c>
      <c r="C325" s="133"/>
      <c r="D325" s="133"/>
      <c r="E325" s="133"/>
      <c r="F325" s="133"/>
      <c r="G325" s="133"/>
      <c r="H325" s="133"/>
      <c r="I325" s="133"/>
      <c r="J325" s="133"/>
      <c r="K325" s="133"/>
      <c r="L325" s="432" t="s">
        <v>17</v>
      </c>
      <c r="M325" s="432" t="s">
        <v>17</v>
      </c>
      <c r="N325" s="432" t="s">
        <v>17</v>
      </c>
      <c r="O325" s="432" t="s">
        <v>17</v>
      </c>
      <c r="P325" s="432" t="s">
        <v>17</v>
      </c>
      <c r="Q325" s="432" t="s">
        <v>17</v>
      </c>
      <c r="R325" s="432" t="s">
        <v>17</v>
      </c>
      <c r="S325" s="432" t="s">
        <v>17</v>
      </c>
      <c r="T325" s="432" t="s">
        <v>17</v>
      </c>
      <c r="U325" s="432" t="s">
        <v>17</v>
      </c>
      <c r="V325" s="432" t="s">
        <v>17</v>
      </c>
      <c r="W325" s="432" t="s">
        <v>17</v>
      </c>
      <c r="X325" s="330">
        <v>0.41</v>
      </c>
      <c r="Y325" s="330">
        <f t="shared" si="168"/>
        <v>0.59498639004361753</v>
      </c>
      <c r="Z325" s="330"/>
      <c r="AB325" s="330">
        <v>0.55914898431117754</v>
      </c>
      <c r="AC325" s="330">
        <v>0.5767583738353419</v>
      </c>
      <c r="AD325" s="330">
        <v>0.6155264194970067</v>
      </c>
      <c r="AE325" s="330">
        <v>0.59498639004361753</v>
      </c>
      <c r="AF325" s="330">
        <v>0.57839404013822726</v>
      </c>
      <c r="AG325" s="330"/>
      <c r="AH325" s="330"/>
      <c r="AI325" s="330"/>
      <c r="AK325" s="330">
        <f t="shared" si="163"/>
        <v>0.55914898431117754</v>
      </c>
      <c r="AL325" s="330">
        <f t="shared" si="164"/>
        <v>1.7609389524164354E-2</v>
      </c>
      <c r="AM325" s="330">
        <f t="shared" si="165"/>
        <v>3.8768045661664807E-2</v>
      </c>
      <c r="AN325" s="330">
        <f t="shared" si="166"/>
        <v>-2.0540029453389175E-2</v>
      </c>
      <c r="AO325" s="330">
        <f t="shared" si="167"/>
        <v>0.57839404013822726</v>
      </c>
      <c r="AP325" s="310"/>
      <c r="AQ325" s="310"/>
      <c r="AR325" s="310"/>
    </row>
    <row r="326" spans="2:44" ht="15" customHeight="1" x14ac:dyDescent="0.25">
      <c r="B326" s="130" t="s">
        <v>74</v>
      </c>
      <c r="C326" s="130"/>
      <c r="D326" s="130"/>
      <c r="E326" s="130"/>
      <c r="F326" s="130"/>
      <c r="G326" s="130"/>
      <c r="H326" s="130"/>
      <c r="I326" s="130"/>
      <c r="J326" s="130"/>
      <c r="K326" s="130"/>
      <c r="L326" s="310">
        <v>0</v>
      </c>
      <c r="M326" s="310">
        <v>0</v>
      </c>
      <c r="N326" s="310">
        <v>0</v>
      </c>
      <c r="O326" s="310">
        <v>0</v>
      </c>
      <c r="P326" s="310">
        <v>0</v>
      </c>
      <c r="Q326" s="310">
        <v>0</v>
      </c>
      <c r="R326" s="310">
        <v>0</v>
      </c>
      <c r="S326" s="310">
        <v>0</v>
      </c>
      <c r="T326" s="310">
        <v>0</v>
      </c>
      <c r="U326" s="310">
        <v>0</v>
      </c>
      <c r="V326" s="310">
        <v>0</v>
      </c>
      <c r="W326" s="310">
        <v>0</v>
      </c>
      <c r="X326" s="310">
        <v>0</v>
      </c>
      <c r="Y326" s="310">
        <f t="shared" si="168"/>
        <v>-1.999999959494403E-10</v>
      </c>
      <c r="Z326" s="310"/>
      <c r="AB326" s="310">
        <v>0</v>
      </c>
      <c r="AC326" s="310">
        <v>0</v>
      </c>
      <c r="AD326" s="310">
        <v>0</v>
      </c>
      <c r="AE326" s="310">
        <v>-1.999999959494403E-10</v>
      </c>
      <c r="AF326" s="310">
        <v>0</v>
      </c>
      <c r="AG326" s="310"/>
      <c r="AH326" s="310"/>
      <c r="AI326" s="310"/>
      <c r="AK326" s="310">
        <f t="shared" si="163"/>
        <v>0</v>
      </c>
      <c r="AL326" s="310">
        <f t="shared" si="164"/>
        <v>0</v>
      </c>
      <c r="AM326" s="310">
        <f t="shared" si="165"/>
        <v>0</v>
      </c>
      <c r="AN326" s="310">
        <f t="shared" si="166"/>
        <v>-1.999999959494403E-10</v>
      </c>
      <c r="AO326" s="310">
        <f t="shared" si="167"/>
        <v>0</v>
      </c>
      <c r="AP326" s="310"/>
      <c r="AQ326" s="310"/>
      <c r="AR326" s="310"/>
    </row>
    <row r="327" spans="2:44" ht="15" customHeight="1" x14ac:dyDescent="0.25">
      <c r="B327" s="130" t="s">
        <v>75</v>
      </c>
      <c r="C327" s="130"/>
      <c r="D327" s="130"/>
      <c r="E327" s="130"/>
      <c r="F327" s="130"/>
      <c r="G327" s="130"/>
      <c r="H327" s="130"/>
      <c r="I327" s="130"/>
      <c r="J327" s="130"/>
      <c r="K327" s="130"/>
      <c r="L327" s="310">
        <v>0</v>
      </c>
      <c r="M327" s="310">
        <v>0</v>
      </c>
      <c r="N327" s="310">
        <v>0</v>
      </c>
      <c r="O327" s="310">
        <v>0</v>
      </c>
      <c r="P327" s="310">
        <v>0</v>
      </c>
      <c r="Q327" s="310">
        <v>0</v>
      </c>
      <c r="R327" s="310">
        <v>0</v>
      </c>
      <c r="S327" s="310">
        <v>0</v>
      </c>
      <c r="T327" s="310">
        <v>0</v>
      </c>
      <c r="U327" s="310">
        <v>0</v>
      </c>
      <c r="V327" s="310">
        <v>0</v>
      </c>
      <c r="W327" s="310">
        <v>0</v>
      </c>
      <c r="X327" s="310">
        <v>23.11</v>
      </c>
      <c r="Y327" s="310">
        <f t="shared" si="168"/>
        <v>59.677628659599932</v>
      </c>
      <c r="Z327" s="310"/>
      <c r="AB327" s="310">
        <v>9.9234825182999948</v>
      </c>
      <c r="AC327" s="310">
        <v>22.667440492099995</v>
      </c>
      <c r="AD327" s="310">
        <v>35.770150081899999</v>
      </c>
      <c r="AE327" s="310">
        <v>59.677628659599932</v>
      </c>
      <c r="AF327" s="310">
        <v>15.654153566500007</v>
      </c>
      <c r="AG327" s="310"/>
      <c r="AH327" s="310"/>
      <c r="AI327" s="310"/>
      <c r="AK327" s="310">
        <f t="shared" si="163"/>
        <v>9.9234825182999948</v>
      </c>
      <c r="AL327" s="310">
        <f t="shared" si="164"/>
        <v>12.743957973800001</v>
      </c>
      <c r="AM327" s="310">
        <f t="shared" si="165"/>
        <v>13.102709589800003</v>
      </c>
      <c r="AN327" s="310">
        <f t="shared" si="166"/>
        <v>23.907478577699933</v>
      </c>
      <c r="AO327" s="310">
        <f t="shared" si="167"/>
        <v>15.654153566500007</v>
      </c>
      <c r="AP327" s="310"/>
      <c r="AQ327" s="310"/>
      <c r="AR327" s="310"/>
    </row>
    <row r="328" spans="2:44" ht="15" customHeight="1" x14ac:dyDescent="0.25">
      <c r="B328" s="130" t="s">
        <v>76</v>
      </c>
      <c r="C328" s="130"/>
      <c r="D328" s="130"/>
      <c r="E328" s="130"/>
      <c r="F328" s="130"/>
      <c r="G328" s="130"/>
      <c r="H328" s="130"/>
      <c r="I328" s="130"/>
      <c r="J328" s="130"/>
      <c r="K328" s="130"/>
      <c r="L328" s="310">
        <v>0</v>
      </c>
      <c r="M328" s="310">
        <v>0</v>
      </c>
      <c r="N328" s="310">
        <v>0</v>
      </c>
      <c r="O328" s="310">
        <v>0</v>
      </c>
      <c r="P328" s="310">
        <v>0</v>
      </c>
      <c r="Q328" s="310">
        <v>0</v>
      </c>
      <c r="R328" s="310">
        <v>0</v>
      </c>
      <c r="S328" s="310">
        <v>0</v>
      </c>
      <c r="T328" s="310">
        <v>0</v>
      </c>
      <c r="U328" s="310">
        <v>0</v>
      </c>
      <c r="V328" s="310">
        <v>0</v>
      </c>
      <c r="W328" s="310">
        <v>0</v>
      </c>
      <c r="X328" s="310">
        <v>1.39</v>
      </c>
      <c r="Y328" s="310">
        <f t="shared" si="168"/>
        <v>2.8676115158000002</v>
      </c>
      <c r="Z328" s="310"/>
      <c r="AB328" s="310">
        <v>4.5474735088646416E-18</v>
      </c>
      <c r="AC328" s="310">
        <v>0</v>
      </c>
      <c r="AD328" s="310">
        <v>2.4303514889999995</v>
      </c>
      <c r="AE328" s="310">
        <v>2.8676115158000002</v>
      </c>
      <c r="AF328" s="310">
        <v>0.3618917203</v>
      </c>
      <c r="AG328" s="310"/>
      <c r="AH328" s="310"/>
      <c r="AI328" s="310"/>
      <c r="AK328" s="310">
        <f t="shared" si="163"/>
        <v>4.5474735088646416E-18</v>
      </c>
      <c r="AL328" s="310">
        <f t="shared" si="164"/>
        <v>-4.5474735088646416E-18</v>
      </c>
      <c r="AM328" s="310">
        <f t="shared" si="165"/>
        <v>2.4303514889999995</v>
      </c>
      <c r="AN328" s="310">
        <f t="shared" si="166"/>
        <v>0.43726002680000065</v>
      </c>
      <c r="AO328" s="310">
        <f t="shared" si="167"/>
        <v>0.3618917203</v>
      </c>
      <c r="AP328" s="310"/>
      <c r="AQ328" s="310"/>
      <c r="AR328" s="310"/>
    </row>
    <row r="329" spans="2:44" ht="15" customHeight="1" x14ac:dyDescent="0.25">
      <c r="B329" s="6" t="s">
        <v>77</v>
      </c>
      <c r="C329" s="6"/>
      <c r="D329" s="6"/>
      <c r="E329" s="6"/>
      <c r="F329" s="6"/>
      <c r="G329" s="6"/>
      <c r="H329" s="6"/>
      <c r="I329" s="6"/>
      <c r="J329" s="6"/>
      <c r="K329" s="6"/>
      <c r="L329" s="301">
        <v>0</v>
      </c>
      <c r="M329" s="301">
        <v>0</v>
      </c>
      <c r="N329" s="301">
        <v>0</v>
      </c>
      <c r="O329" s="301">
        <v>0</v>
      </c>
      <c r="P329" s="301">
        <v>0</v>
      </c>
      <c r="Q329" s="301">
        <v>0</v>
      </c>
      <c r="R329" s="301">
        <v>0</v>
      </c>
      <c r="S329" s="301">
        <v>0</v>
      </c>
      <c r="T329" s="301">
        <v>0</v>
      </c>
      <c r="U329" s="301">
        <v>0</v>
      </c>
      <c r="V329" s="301">
        <v>0</v>
      </c>
      <c r="W329" s="301">
        <v>0</v>
      </c>
      <c r="X329" s="301">
        <v>13.04</v>
      </c>
      <c r="Y329" s="301">
        <f t="shared" si="168"/>
        <v>11.309426388599947</v>
      </c>
      <c r="Z329" s="301"/>
      <c r="AB329" s="301">
        <v>6.9502561521000041</v>
      </c>
      <c r="AC329" s="301">
        <v>11.986305444099806</v>
      </c>
      <c r="AD329" s="301">
        <v>21.9877782398998</v>
      </c>
      <c r="AE329" s="301">
        <v>11.309426388599947</v>
      </c>
      <c r="AF329" s="301">
        <v>3.6826249779999851</v>
      </c>
      <c r="AG329" s="301"/>
      <c r="AH329" s="301"/>
      <c r="AI329" s="301"/>
      <c r="AK329" s="301">
        <f t="shared" si="163"/>
        <v>6.9502561521000041</v>
      </c>
      <c r="AL329" s="301">
        <f t="shared" si="164"/>
        <v>5.0360492919998014</v>
      </c>
      <c r="AM329" s="301">
        <f t="shared" si="165"/>
        <v>10.001472795799994</v>
      </c>
      <c r="AN329" s="301">
        <f t="shared" si="166"/>
        <v>-10.678351851299853</v>
      </c>
      <c r="AO329" s="301">
        <f t="shared" si="167"/>
        <v>3.6826249779999851</v>
      </c>
      <c r="AP329" s="310"/>
      <c r="AQ329" s="310"/>
      <c r="AR329" s="310"/>
    </row>
    <row r="332" spans="2:44" ht="15" customHeight="1" x14ac:dyDescent="0.25">
      <c r="B332" s="169" t="s">
        <v>78</v>
      </c>
      <c r="C332" s="169"/>
      <c r="D332" s="169"/>
      <c r="E332" s="169"/>
      <c r="F332" s="169"/>
      <c r="G332" s="169"/>
      <c r="H332" s="169"/>
      <c r="I332" s="169"/>
      <c r="J332" s="169"/>
      <c r="K332" s="169"/>
      <c r="L332" s="228">
        <v>2010</v>
      </c>
      <c r="M332" s="228">
        <v>2011</v>
      </c>
      <c r="N332" s="228">
        <v>2012</v>
      </c>
      <c r="O332" s="228">
        <v>2013</v>
      </c>
      <c r="P332" s="228">
        <v>2014</v>
      </c>
      <c r="Q332" s="228">
        <v>2015</v>
      </c>
      <c r="R332" s="228">
        <v>2016</v>
      </c>
      <c r="S332" s="228">
        <v>2017</v>
      </c>
      <c r="T332" s="228">
        <v>2018</v>
      </c>
      <c r="U332" s="228">
        <v>2019</v>
      </c>
      <c r="V332" s="228">
        <v>2020</v>
      </c>
      <c r="W332" s="228">
        <v>2021</v>
      </c>
      <c r="X332" s="231">
        <v>2022</v>
      </c>
      <c r="Y332" s="229">
        <v>2023</v>
      </c>
      <c r="Z332" s="230">
        <v>2024</v>
      </c>
      <c r="AB332" s="231" t="s">
        <v>291</v>
      </c>
      <c r="AC332" s="231" t="s">
        <v>292</v>
      </c>
      <c r="AD332" s="231" t="s">
        <v>293</v>
      </c>
      <c r="AE332" s="231">
        <v>2023</v>
      </c>
      <c r="AF332" s="232" t="s">
        <v>318</v>
      </c>
      <c r="AG332" s="232" t="s">
        <v>319</v>
      </c>
      <c r="AH332" s="232" t="s">
        <v>320</v>
      </c>
      <c r="AI332" s="232">
        <v>2024</v>
      </c>
      <c r="AK332" s="231" t="s">
        <v>291</v>
      </c>
      <c r="AL332" s="231" t="s">
        <v>296</v>
      </c>
      <c r="AM332" s="231" t="s">
        <v>294</v>
      </c>
      <c r="AN332" s="231" t="s">
        <v>295</v>
      </c>
      <c r="AO332" s="232" t="s">
        <v>318</v>
      </c>
      <c r="AP332" s="232" t="s">
        <v>321</v>
      </c>
      <c r="AQ332" s="232" t="s">
        <v>322</v>
      </c>
      <c r="AR332" s="232" t="s">
        <v>323</v>
      </c>
    </row>
    <row r="333" spans="2:44" ht="15" customHeight="1" x14ac:dyDescent="0.25">
      <c r="B333" s="6" t="s">
        <v>79</v>
      </c>
      <c r="C333" s="6"/>
      <c r="D333" s="6"/>
      <c r="E333" s="6"/>
      <c r="F333" s="6"/>
      <c r="G333" s="6"/>
      <c r="H333" s="6"/>
      <c r="I333" s="6"/>
      <c r="J333" s="6"/>
      <c r="K333" s="6"/>
      <c r="L333" s="301">
        <v>0</v>
      </c>
      <c r="M333" s="301">
        <v>0</v>
      </c>
      <c r="N333" s="301">
        <v>0</v>
      </c>
      <c r="O333" s="301">
        <v>0</v>
      </c>
      <c r="P333" s="301">
        <v>0</v>
      </c>
      <c r="Q333" s="301">
        <v>0</v>
      </c>
      <c r="R333" s="301">
        <v>0</v>
      </c>
      <c r="S333" s="301">
        <v>0</v>
      </c>
      <c r="T333" s="301">
        <v>0</v>
      </c>
      <c r="U333" s="301">
        <v>0</v>
      </c>
      <c r="V333" s="301">
        <v>0</v>
      </c>
      <c r="W333" s="301">
        <v>28</v>
      </c>
      <c r="X333" s="301">
        <v>711.33</v>
      </c>
      <c r="Y333" s="301" vm="556">
        <f>+AE333</f>
        <v>889.6199934900003</v>
      </c>
      <c r="Z333" s="301"/>
      <c r="AB333" s="301" vm="127">
        <v>736.0008056099997</v>
      </c>
      <c r="AC333" s="301">
        <v>790.10305559000074</v>
      </c>
      <c r="AD333" s="301" vm="324">
        <v>832.06126928000026</v>
      </c>
      <c r="AE333" s="301" vm="556">
        <v>889.6199934900003</v>
      </c>
      <c r="AF333" s="301" vm="602">
        <v>917.4453000000002</v>
      </c>
      <c r="AG333" s="301"/>
      <c r="AH333" s="301"/>
      <c r="AI333" s="301"/>
      <c r="AK333" s="301"/>
      <c r="AL333" s="301"/>
      <c r="AM333" s="301"/>
      <c r="AN333" s="301"/>
      <c r="AO333" s="301"/>
      <c r="AP333" s="301"/>
      <c r="AQ333" s="301"/>
      <c r="AR333" s="301"/>
    </row>
    <row r="334" spans="2:44" ht="15" customHeight="1" x14ac:dyDescent="0.25">
      <c r="B334" s="210" t="s">
        <v>56</v>
      </c>
      <c r="C334" s="6"/>
      <c r="D334" s="6"/>
      <c r="E334" s="6"/>
      <c r="F334" s="6"/>
      <c r="G334" s="6"/>
      <c r="H334" s="6"/>
      <c r="I334" s="6"/>
      <c r="J334" s="6"/>
      <c r="K334" s="6"/>
      <c r="L334" s="310">
        <v>0</v>
      </c>
      <c r="M334" s="310">
        <v>0</v>
      </c>
      <c r="N334" s="310">
        <v>0</v>
      </c>
      <c r="O334" s="310">
        <v>0</v>
      </c>
      <c r="P334" s="310">
        <v>0</v>
      </c>
      <c r="Q334" s="310">
        <v>0</v>
      </c>
      <c r="R334" s="310">
        <v>0</v>
      </c>
      <c r="S334" s="310">
        <v>0</v>
      </c>
      <c r="T334" s="310">
        <v>0</v>
      </c>
      <c r="U334" s="310">
        <v>0</v>
      </c>
      <c r="V334" s="310">
        <v>0</v>
      </c>
      <c r="W334" s="310">
        <v>28</v>
      </c>
      <c r="X334" s="310">
        <v>404.63</v>
      </c>
      <c r="Y334" s="310" vm="429">
        <f>+AE334</f>
        <v>402.47022004000002</v>
      </c>
      <c r="Z334" s="310"/>
      <c r="AB334" s="310" vm="124">
        <v>411.80734583999998</v>
      </c>
      <c r="AC334" s="310" vm="108">
        <v>411.80734583999998</v>
      </c>
      <c r="AD334" s="310" vm="454">
        <v>412.94500000000005</v>
      </c>
      <c r="AE334" s="310" vm="429">
        <v>402.47022004000002</v>
      </c>
      <c r="AF334" s="310" vm="601">
        <v>402.47020000000003</v>
      </c>
      <c r="AG334" s="310"/>
      <c r="AH334" s="310"/>
      <c r="AI334" s="310"/>
      <c r="AK334" s="301"/>
      <c r="AL334" s="301"/>
      <c r="AM334" s="301"/>
      <c r="AN334" s="301"/>
      <c r="AO334" s="301"/>
      <c r="AP334" s="301"/>
      <c r="AQ334" s="301"/>
      <c r="AR334" s="301"/>
    </row>
    <row r="335" spans="2:44" ht="15" customHeight="1" x14ac:dyDescent="0.25">
      <c r="B335" s="210" t="s">
        <v>273</v>
      </c>
      <c r="C335" s="6"/>
      <c r="D335" s="6"/>
      <c r="E335" s="6"/>
      <c r="F335" s="6"/>
      <c r="G335" s="6"/>
      <c r="H335" s="6"/>
      <c r="I335" s="6"/>
      <c r="J335" s="6"/>
      <c r="K335" s="6"/>
      <c r="L335" s="310">
        <v>0</v>
      </c>
      <c r="M335" s="310">
        <v>0</v>
      </c>
      <c r="N335" s="310">
        <v>0</v>
      </c>
      <c r="O335" s="310">
        <v>0</v>
      </c>
      <c r="P335" s="310">
        <v>0</v>
      </c>
      <c r="Q335" s="310">
        <v>0</v>
      </c>
      <c r="R335" s="310">
        <v>0</v>
      </c>
      <c r="S335" s="310">
        <v>0</v>
      </c>
      <c r="T335" s="310">
        <v>0</v>
      </c>
      <c r="U335" s="310">
        <v>0</v>
      </c>
      <c r="V335" s="310">
        <v>0</v>
      </c>
      <c r="W335" s="310">
        <v>0</v>
      </c>
      <c r="X335" s="310">
        <v>229.6</v>
      </c>
      <c r="Y335" s="310" vm="555">
        <f>+AE335</f>
        <v>314.95489431999977</v>
      </c>
      <c r="Z335" s="310"/>
      <c r="AB335" s="310" vm="126">
        <v>243.53026812999997</v>
      </c>
      <c r="AC335" s="310" vm="403">
        <v>266.56796395999982</v>
      </c>
      <c r="AD335" s="310" vm="323">
        <v>288.23356098999983</v>
      </c>
      <c r="AE335" s="310" vm="555">
        <v>314.95489431999977</v>
      </c>
      <c r="AF335" s="310" vm="583">
        <v>325.03509999999983</v>
      </c>
      <c r="AG335" s="310"/>
      <c r="AH335" s="310"/>
      <c r="AI335" s="310"/>
      <c r="AK335" s="301"/>
      <c r="AL335" s="301"/>
      <c r="AM335" s="301"/>
      <c r="AN335" s="301"/>
      <c r="AO335" s="301"/>
      <c r="AP335" s="301"/>
      <c r="AQ335" s="301"/>
      <c r="AR335" s="301"/>
    </row>
    <row r="336" spans="2:44" ht="15" customHeight="1" x14ac:dyDescent="0.25">
      <c r="B336" s="210" t="s">
        <v>275</v>
      </c>
      <c r="C336" s="6"/>
      <c r="D336" s="6"/>
      <c r="E336" s="6"/>
      <c r="F336" s="6"/>
      <c r="G336" s="6"/>
      <c r="H336" s="6"/>
      <c r="I336" s="6"/>
      <c r="J336" s="6"/>
      <c r="K336" s="6"/>
      <c r="L336" s="310">
        <v>0</v>
      </c>
      <c r="M336" s="310">
        <v>0</v>
      </c>
      <c r="N336" s="310">
        <v>0</v>
      </c>
      <c r="O336" s="310">
        <v>0</v>
      </c>
      <c r="P336" s="310">
        <v>0</v>
      </c>
      <c r="Q336" s="310">
        <v>0</v>
      </c>
      <c r="R336" s="310">
        <v>0</v>
      </c>
      <c r="S336" s="310">
        <v>0</v>
      </c>
      <c r="T336" s="310">
        <v>0</v>
      </c>
      <c r="U336" s="310">
        <v>0</v>
      </c>
      <c r="V336" s="310">
        <v>0</v>
      </c>
      <c r="W336" s="310">
        <v>0</v>
      </c>
      <c r="X336" s="310">
        <v>77.099999999999994</v>
      </c>
      <c r="Y336" s="310">
        <f>+AE336</f>
        <v>172.19487912999998</v>
      </c>
      <c r="Z336" s="310"/>
      <c r="AB336" s="310">
        <v>80.663191640000008</v>
      </c>
      <c r="AC336" s="310">
        <v>111.72774579</v>
      </c>
      <c r="AD336" s="310">
        <v>130.88270828999998</v>
      </c>
      <c r="AE336" s="310">
        <v>172.19487912999998</v>
      </c>
      <c r="AF336" s="310">
        <v>189.93999999999994</v>
      </c>
      <c r="AG336" s="310"/>
      <c r="AH336" s="310"/>
      <c r="AI336" s="310"/>
      <c r="AK336" s="301"/>
      <c r="AL336" s="301"/>
      <c r="AM336" s="301"/>
      <c r="AN336" s="301"/>
      <c r="AO336" s="301"/>
      <c r="AP336" s="301"/>
      <c r="AQ336" s="301"/>
      <c r="AR336" s="301"/>
    </row>
    <row r="337" spans="2:44" ht="15" customHeight="1" x14ac:dyDescent="0.25">
      <c r="B337" s="20"/>
      <c r="C337" s="20"/>
      <c r="D337" s="20"/>
      <c r="E337" s="20"/>
      <c r="F337" s="20"/>
      <c r="G337" s="20"/>
      <c r="H337" s="20"/>
      <c r="I337" s="20"/>
      <c r="J337" s="20"/>
      <c r="K337" s="20"/>
      <c r="Q337" s="315"/>
      <c r="R337" s="315"/>
      <c r="S337" s="315"/>
      <c r="T337" s="315"/>
      <c r="U337" s="315"/>
      <c r="W337" s="223"/>
    </row>
    <row r="338" spans="2:44" ht="15" customHeight="1" x14ac:dyDescent="0.25">
      <c r="B338" s="39" t="s">
        <v>245</v>
      </c>
      <c r="C338" s="39"/>
      <c r="D338" s="39"/>
      <c r="E338" s="39"/>
      <c r="F338" s="39"/>
      <c r="G338" s="39"/>
      <c r="H338" s="39"/>
      <c r="I338" s="39"/>
      <c r="J338" s="39"/>
      <c r="K338" s="39"/>
      <c r="L338" s="301">
        <v>0</v>
      </c>
      <c r="M338" s="301">
        <v>0</v>
      </c>
      <c r="N338" s="301">
        <v>0</v>
      </c>
      <c r="O338" s="301">
        <v>0</v>
      </c>
      <c r="P338" s="301">
        <v>0</v>
      </c>
      <c r="Q338" s="301">
        <v>0</v>
      </c>
      <c r="R338" s="301">
        <v>0</v>
      </c>
      <c r="S338" s="301">
        <v>0</v>
      </c>
      <c r="T338" s="301">
        <v>0</v>
      </c>
      <c r="U338" s="301">
        <v>0</v>
      </c>
      <c r="V338" s="301">
        <v>0</v>
      </c>
      <c r="W338" s="325">
        <v>0.2</v>
      </c>
      <c r="X338" s="325">
        <v>0.16</v>
      </c>
      <c r="Y338" s="325" vm="426">
        <f>+AE338</f>
        <v>0.17306424964174708</v>
      </c>
      <c r="Z338" s="325"/>
      <c r="AB338" s="325" vm="128">
        <v>0.1775895414008275</v>
      </c>
      <c r="AC338" s="325" vm="404">
        <v>0.18371783383297718</v>
      </c>
      <c r="AD338" s="325" vm="325">
        <v>0.18286549843182373</v>
      </c>
      <c r="AE338" s="325" vm="426">
        <v>0.17306424964174708</v>
      </c>
      <c r="AF338" s="325" vm="612">
        <v>0.17166030772190577</v>
      </c>
      <c r="AG338" s="325"/>
      <c r="AH338" s="325"/>
      <c r="AI338" s="325"/>
      <c r="AK338" s="325"/>
      <c r="AL338" s="325"/>
      <c r="AM338" s="325"/>
      <c r="AN338" s="325"/>
      <c r="AO338" s="325"/>
      <c r="AP338" s="325"/>
      <c r="AQ338" s="325"/>
      <c r="AR338" s="325"/>
    </row>
    <row r="339" spans="2:44" ht="15" customHeight="1" x14ac:dyDescent="0.25">
      <c r="B339" s="130"/>
      <c r="C339" s="130"/>
      <c r="D339" s="130"/>
      <c r="E339" s="130"/>
      <c r="F339" s="130"/>
      <c r="G339" s="130"/>
      <c r="H339" s="130"/>
      <c r="I339" s="130"/>
      <c r="J339" s="130"/>
      <c r="K339" s="130"/>
      <c r="Q339" s="315"/>
      <c r="R339" s="315"/>
      <c r="S339" s="315"/>
      <c r="T339" s="315"/>
      <c r="U339" s="315"/>
      <c r="W339" s="223"/>
    </row>
    <row r="340" spans="2:44" ht="15" customHeight="1" x14ac:dyDescent="0.25">
      <c r="B340" s="39" t="s">
        <v>246</v>
      </c>
      <c r="C340" s="39"/>
      <c r="D340" s="39"/>
      <c r="E340" s="39"/>
      <c r="F340" s="39"/>
      <c r="G340" s="39"/>
      <c r="H340" s="39"/>
      <c r="I340" s="39"/>
      <c r="J340" s="39"/>
      <c r="K340" s="39"/>
      <c r="L340" s="301">
        <v>0</v>
      </c>
      <c r="M340" s="301">
        <v>0</v>
      </c>
      <c r="N340" s="301">
        <v>0</v>
      </c>
      <c r="O340" s="301">
        <v>0</v>
      </c>
      <c r="P340" s="301">
        <v>0</v>
      </c>
      <c r="Q340" s="301">
        <v>0</v>
      </c>
      <c r="R340" s="301">
        <v>0</v>
      </c>
      <c r="S340" s="301">
        <v>0</v>
      </c>
      <c r="T340" s="301">
        <v>0</v>
      </c>
      <c r="U340" s="301">
        <v>0</v>
      </c>
      <c r="V340" s="301">
        <v>0</v>
      </c>
      <c r="W340" s="301">
        <v>22.8</v>
      </c>
      <c r="X340" s="301">
        <v>635.51</v>
      </c>
      <c r="Y340" s="301">
        <f>+AE340</f>
        <v>1184.4572848587898</v>
      </c>
      <c r="Z340" s="301"/>
      <c r="AB340" s="301">
        <v>275.94683316372993</v>
      </c>
      <c r="AC340" s="301">
        <v>587.79629020707</v>
      </c>
      <c r="AD340" s="301">
        <v>909.42939099807995</v>
      </c>
      <c r="AE340" s="301">
        <v>1184.4572848587898</v>
      </c>
      <c r="AF340" s="301">
        <v>335.80901</v>
      </c>
      <c r="AG340" s="301"/>
      <c r="AH340" s="301"/>
      <c r="AI340" s="301"/>
      <c r="AK340" s="301">
        <f>AB340</f>
        <v>275.94683316372993</v>
      </c>
      <c r="AL340" s="301">
        <f>AC340-AB340</f>
        <v>311.84945704334007</v>
      </c>
      <c r="AM340" s="301">
        <f>AD340-AC340</f>
        <v>321.63310079100995</v>
      </c>
      <c r="AN340" s="301">
        <f>AE340-AD340</f>
        <v>275.02789386070981</v>
      </c>
      <c r="AO340" s="301">
        <f>AF340</f>
        <v>335.80901</v>
      </c>
      <c r="AP340" s="260"/>
      <c r="AQ340" s="260"/>
      <c r="AR340" s="260"/>
    </row>
    <row r="341" spans="2:44" ht="15" customHeight="1" x14ac:dyDescent="0.25">
      <c r="B341" s="130"/>
      <c r="C341" s="130"/>
      <c r="D341" s="130"/>
      <c r="E341" s="130"/>
      <c r="F341" s="130"/>
      <c r="G341" s="130"/>
      <c r="H341" s="130"/>
      <c r="I341" s="130"/>
      <c r="J341" s="130"/>
      <c r="K341" s="130"/>
      <c r="M341" s="301"/>
      <c r="N341" s="301"/>
      <c r="O341" s="301"/>
      <c r="P341" s="301"/>
      <c r="Q341" s="301"/>
      <c r="R341" s="301"/>
      <c r="S341" s="301"/>
      <c r="T341" s="301"/>
      <c r="U341" s="301"/>
      <c r="V341" s="301"/>
      <c r="W341" s="301"/>
      <c r="X341" s="301"/>
      <c r="Y341" s="301"/>
      <c r="Z341" s="301"/>
      <c r="AB341" s="301"/>
      <c r="AC341" s="301"/>
      <c r="AD341" s="301"/>
      <c r="AE341" s="301"/>
      <c r="AF341" s="301"/>
      <c r="AG341" s="301"/>
      <c r="AH341" s="301"/>
      <c r="AI341" s="301"/>
      <c r="AK341" s="301"/>
      <c r="AL341" s="301"/>
      <c r="AM341" s="301"/>
      <c r="AN341" s="301"/>
      <c r="AO341" s="301"/>
      <c r="AP341" s="301"/>
      <c r="AQ341" s="301"/>
      <c r="AR341" s="301"/>
    </row>
    <row r="342" spans="2:44" ht="15" customHeight="1" x14ac:dyDescent="0.25">
      <c r="B342" s="39" t="s">
        <v>90</v>
      </c>
      <c r="C342" s="39"/>
      <c r="D342" s="39"/>
      <c r="E342" s="39"/>
      <c r="F342" s="39"/>
      <c r="G342" s="39"/>
      <c r="H342" s="39"/>
      <c r="I342" s="39"/>
      <c r="J342" s="39"/>
      <c r="K342" s="39"/>
      <c r="L342" s="301">
        <v>0</v>
      </c>
      <c r="M342" s="301">
        <v>0</v>
      </c>
      <c r="N342" s="301">
        <v>0</v>
      </c>
      <c r="O342" s="301">
        <v>0</v>
      </c>
      <c r="P342" s="301">
        <v>0</v>
      </c>
      <c r="Q342" s="301">
        <v>0</v>
      </c>
      <c r="R342" s="301">
        <v>0</v>
      </c>
      <c r="S342" s="301">
        <v>0</v>
      </c>
      <c r="T342" s="301">
        <v>0</v>
      </c>
      <c r="U342" s="301">
        <v>0</v>
      </c>
      <c r="V342" s="301">
        <v>0</v>
      </c>
      <c r="W342" s="301">
        <v>54.63</v>
      </c>
      <c r="X342" s="301">
        <v>104.21</v>
      </c>
      <c r="Y342" s="301" vm="437">
        <f>+AE342</f>
        <v>98.736964852594824</v>
      </c>
      <c r="Z342" s="301"/>
      <c r="AB342" s="301" vm="129">
        <v>100.62892624362769</v>
      </c>
      <c r="AC342" s="301" vm="160">
        <v>102.1895194329342</v>
      </c>
      <c r="AD342" s="301" vm="308">
        <v>99.388825786357614</v>
      </c>
      <c r="AE342" s="301" vm="437">
        <v>98.736964852594824</v>
      </c>
      <c r="AF342" s="301" vm="562">
        <v>91.751023263193574</v>
      </c>
      <c r="AG342" s="301"/>
      <c r="AH342" s="301"/>
      <c r="AI342" s="301"/>
      <c r="AK342" s="301"/>
      <c r="AL342" s="301"/>
      <c r="AM342" s="301"/>
      <c r="AN342" s="301"/>
      <c r="AO342" s="301"/>
      <c r="AP342" s="301"/>
      <c r="AQ342" s="301"/>
      <c r="AR342" s="301"/>
    </row>
  </sheetData>
  <sortState xmlns:xlrd2="http://schemas.microsoft.com/office/spreadsheetml/2017/richdata2" ref="B313:AA313">
    <sortCondition ref="L313"/>
  </sortState>
  <phoneticPr fontId="35" type="noConversion"/>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tabColor rgb="FF8CA7AF"/>
  </sheetPr>
  <dimension ref="A1:AK190"/>
  <sheetViews>
    <sheetView showGridLines="0" tabSelected="1" zoomScale="75" zoomScaleNormal="75" workbookViewId="0">
      <pane xSplit="9" ySplit="3" topLeftCell="J4" activePane="bottomRight" state="frozen"/>
      <selection activeCell="B2" sqref="B2"/>
      <selection pane="topRight" activeCell="B2" sqref="B2"/>
      <selection pane="bottomLeft" activeCell="B2" sqref="B2"/>
      <selection pane="bottomRight" activeCell="B71" sqref="B71"/>
    </sheetView>
  </sheetViews>
  <sheetFormatPr defaultColWidth="9.140625" defaultRowHeight="15" x14ac:dyDescent="0.25"/>
  <cols>
    <col min="1" max="1" width="5.5703125" customWidth="1"/>
    <col min="2" max="2" width="48.42578125" customWidth="1"/>
    <col min="3" max="9" width="9.140625" hidden="1" customWidth="1"/>
    <col min="10" max="21" width="9.140625" style="223" customWidth="1"/>
    <col min="22" max="22" width="9.140625" style="223"/>
    <col min="23" max="24" width="8.85546875" style="223" customWidth="1"/>
    <col min="25" max="27" width="9.140625" style="223"/>
    <col min="28" max="28" width="11.140625" style="223" customWidth="1"/>
    <col min="29" max="30" width="11" style="223" customWidth="1"/>
    <col min="31" max="31" width="12" style="223" customWidth="1"/>
    <col min="32" max="16384" width="9.140625" style="223"/>
  </cols>
  <sheetData>
    <row r="1" spans="1:36" s="28" customFormat="1" ht="5.0999999999999996" customHeight="1" x14ac:dyDescent="0.25">
      <c r="A1"/>
      <c r="B1"/>
      <c r="C1"/>
      <c r="D1"/>
      <c r="E1"/>
      <c r="F1"/>
      <c r="G1"/>
      <c r="H1"/>
      <c r="I1"/>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row>
    <row r="2" spans="1:36" ht="36" x14ac:dyDescent="0.25">
      <c r="B2" s="171" t="s">
        <v>166</v>
      </c>
      <c r="C2" s="31" t="s">
        <v>167</v>
      </c>
      <c r="D2" s="31"/>
      <c r="E2" s="31"/>
      <c r="F2" s="31"/>
      <c r="G2" s="31"/>
      <c r="H2" s="29"/>
      <c r="I2" s="29"/>
      <c r="J2" s="340"/>
      <c r="K2" s="339"/>
      <c r="Q2" s="253"/>
    </row>
    <row r="3" spans="1:36" x14ac:dyDescent="0.25">
      <c r="B3" s="177" t="s">
        <v>168</v>
      </c>
      <c r="C3" s="61">
        <v>2001</v>
      </c>
      <c r="D3" s="61">
        <v>2002</v>
      </c>
      <c r="E3" s="61">
        <v>2003</v>
      </c>
      <c r="F3" s="61">
        <v>2004</v>
      </c>
      <c r="G3" s="61">
        <v>2005</v>
      </c>
      <c r="H3" s="61">
        <v>2006</v>
      </c>
      <c r="I3" s="61">
        <v>2007</v>
      </c>
      <c r="J3" s="228">
        <v>2008</v>
      </c>
      <c r="K3" s="228">
        <v>2009</v>
      </c>
      <c r="L3" s="228">
        <v>2010</v>
      </c>
      <c r="M3" s="228">
        <v>2011</v>
      </c>
      <c r="N3" s="228">
        <v>2012</v>
      </c>
      <c r="O3" s="228">
        <v>2013</v>
      </c>
      <c r="P3" s="228">
        <v>2014</v>
      </c>
      <c r="Q3" s="228">
        <v>2015</v>
      </c>
      <c r="R3" s="228">
        <v>2016</v>
      </c>
      <c r="S3" s="228">
        <v>2017</v>
      </c>
      <c r="T3" s="228">
        <v>2018</v>
      </c>
      <c r="U3" s="228">
        <v>2019</v>
      </c>
      <c r="V3" s="228">
        <v>2020</v>
      </c>
      <c r="W3" s="228">
        <v>2021</v>
      </c>
      <c r="X3" s="228">
        <v>2022</v>
      </c>
      <c r="Y3" s="229">
        <v>2023</v>
      </c>
      <c r="Z3" s="230">
        <v>2024</v>
      </c>
      <c r="AB3" s="231" t="s">
        <v>291</v>
      </c>
      <c r="AC3" s="231" t="s">
        <v>292</v>
      </c>
      <c r="AD3" s="231" t="s">
        <v>293</v>
      </c>
      <c r="AE3" s="231">
        <v>2023</v>
      </c>
      <c r="AF3" s="232" t="s">
        <v>318</v>
      </c>
      <c r="AG3" s="232" t="s">
        <v>319</v>
      </c>
      <c r="AH3" s="232" t="s">
        <v>320</v>
      </c>
      <c r="AI3" s="232">
        <v>2024</v>
      </c>
    </row>
    <row r="4" spans="1:36" x14ac:dyDescent="0.25">
      <c r="B4" s="34" t="s">
        <v>46</v>
      </c>
      <c r="C4" s="141" t="s">
        <v>17</v>
      </c>
      <c r="D4" s="141" t="s">
        <v>17</v>
      </c>
      <c r="E4" s="141" t="s">
        <v>17</v>
      </c>
      <c r="F4" s="141" t="s">
        <v>17</v>
      </c>
      <c r="G4" s="141" t="s">
        <v>17</v>
      </c>
      <c r="H4" s="141" t="s">
        <v>17</v>
      </c>
      <c r="I4" s="141" t="s">
        <v>17</v>
      </c>
      <c r="J4" s="261">
        <v>4400</v>
      </c>
      <c r="K4" s="261">
        <v>5491</v>
      </c>
      <c r="L4" s="261">
        <v>6437.3249999999998</v>
      </c>
      <c r="M4" s="261">
        <v>7157.3249999999998</v>
      </c>
      <c r="N4" s="261">
        <f t="shared" ref="N4:S4" si="0">N5+N9+N12</f>
        <v>7557.5749999999998</v>
      </c>
      <c r="O4" s="261">
        <f t="shared" si="0"/>
        <v>7982.8</v>
      </c>
      <c r="P4" s="261">
        <f t="shared" si="0"/>
        <v>8067.7</v>
      </c>
      <c r="Q4" s="261">
        <f t="shared" si="0"/>
        <v>9199</v>
      </c>
      <c r="R4" s="261">
        <f t="shared" si="0"/>
        <v>9969</v>
      </c>
      <c r="S4" s="261">
        <f t="shared" si="0"/>
        <v>10531</v>
      </c>
      <c r="T4" s="261">
        <v>11155.880000000001</v>
      </c>
      <c r="U4" s="261">
        <v>10666.87</v>
      </c>
      <c r="V4" s="261">
        <v>11154.735000000001</v>
      </c>
      <c r="W4" s="261">
        <v>11845.142</v>
      </c>
      <c r="X4" s="261">
        <v>12136.021999999997</v>
      </c>
      <c r="Y4" s="261">
        <f t="shared" ref="Y4:Y13" si="1">AE4</f>
        <v>12432.237000000001</v>
      </c>
      <c r="Z4" s="261"/>
      <c r="AB4" s="261">
        <v>12161.576999999999</v>
      </c>
      <c r="AC4" s="261">
        <v>12279.757</v>
      </c>
      <c r="AD4" s="261">
        <v>11878.666999999999</v>
      </c>
      <c r="AE4" s="261">
        <v>12432.237000000001</v>
      </c>
      <c r="AF4" s="261">
        <v>12134.437</v>
      </c>
      <c r="AG4" s="261"/>
      <c r="AH4" s="261"/>
      <c r="AI4" s="261"/>
    </row>
    <row r="5" spans="1:36" x14ac:dyDescent="0.25">
      <c r="B5" s="205" t="s">
        <v>41</v>
      </c>
      <c r="C5" s="141"/>
      <c r="D5" s="141"/>
      <c r="E5" s="141"/>
      <c r="F5" s="141"/>
      <c r="G5" s="141"/>
      <c r="H5" s="141"/>
      <c r="I5" s="141"/>
      <c r="J5" s="261">
        <f>SUM(J6:J8)</f>
        <v>2477</v>
      </c>
      <c r="K5" s="261">
        <f t="shared" ref="K5:U5" si="2">SUM(K6:K8)</f>
        <v>2853</v>
      </c>
      <c r="L5" s="261">
        <f t="shared" si="2"/>
        <v>3200</v>
      </c>
      <c r="M5" s="261">
        <f t="shared" si="2"/>
        <v>3652</v>
      </c>
      <c r="N5" s="261">
        <f t="shared" si="2"/>
        <v>3837</v>
      </c>
      <c r="O5" s="261">
        <f t="shared" si="2"/>
        <v>4232</v>
      </c>
      <c r="P5" s="261">
        <f t="shared" si="2"/>
        <v>4179</v>
      </c>
      <c r="Q5" s="261">
        <f t="shared" si="2"/>
        <v>4912</v>
      </c>
      <c r="R5" s="261">
        <f t="shared" si="2"/>
        <v>4934</v>
      </c>
      <c r="S5" s="261">
        <f t="shared" si="2"/>
        <v>5005.5</v>
      </c>
      <c r="T5" s="261">
        <f t="shared" si="2"/>
        <v>5217.08</v>
      </c>
      <c r="U5" s="261">
        <f t="shared" si="2"/>
        <v>4346.47</v>
      </c>
      <c r="V5" s="261">
        <f>SUM(V6:V8)</f>
        <v>4713.835</v>
      </c>
      <c r="W5" s="261">
        <f t="shared" ref="W5" si="3">SUM(W6:W8)</f>
        <v>5174.6750000000002</v>
      </c>
      <c r="X5" s="261">
        <f>SUM(X6:X8)</f>
        <v>5050.3549999999996</v>
      </c>
      <c r="Y5" s="261">
        <f t="shared" si="1"/>
        <v>4929.6149999999998</v>
      </c>
      <c r="Z5" s="261"/>
      <c r="AB5" s="261">
        <f>SUM(AB6:AB8)</f>
        <v>5078.8549999999996</v>
      </c>
      <c r="AC5" s="261">
        <f>SUM(AC6:AC8)</f>
        <v>5197.0349999999999</v>
      </c>
      <c r="AD5" s="261">
        <f>SUM(AD6:AD8)</f>
        <v>4795.9449999999997</v>
      </c>
      <c r="AE5" s="261">
        <f>SUM(AE6:AE8)</f>
        <v>4929.6149999999998</v>
      </c>
      <c r="AF5" s="261">
        <f>SUM(AF6:AF8)</f>
        <v>4929.6149999999998</v>
      </c>
      <c r="AG5" s="261"/>
      <c r="AH5" s="261"/>
      <c r="AI5" s="261"/>
    </row>
    <row r="6" spans="1:36" x14ac:dyDescent="0.25">
      <c r="B6" s="113" t="s">
        <v>51</v>
      </c>
      <c r="C6" s="115">
        <v>0</v>
      </c>
      <c r="D6" s="115">
        <v>0</v>
      </c>
      <c r="E6" s="115">
        <v>0</v>
      </c>
      <c r="F6" s="115">
        <v>0</v>
      </c>
      <c r="G6" s="115">
        <v>0</v>
      </c>
      <c r="H6" s="115">
        <v>0</v>
      </c>
      <c r="I6" s="115">
        <v>0</v>
      </c>
      <c r="J6" s="344">
        <v>553</v>
      </c>
      <c r="K6" s="344">
        <v>595</v>
      </c>
      <c r="L6" s="344">
        <v>599</v>
      </c>
      <c r="M6" s="344">
        <v>613</v>
      </c>
      <c r="N6" s="344">
        <v>615</v>
      </c>
      <c r="O6" s="345">
        <v>619</v>
      </c>
      <c r="P6" s="345">
        <f>624-2</f>
        <v>622</v>
      </c>
      <c r="Q6" s="345">
        <f>1247-2</f>
        <v>1245</v>
      </c>
      <c r="R6" s="345">
        <v>1249</v>
      </c>
      <c r="S6" s="345">
        <v>1249</v>
      </c>
      <c r="T6" s="345">
        <v>1304.07</v>
      </c>
      <c r="U6" s="345">
        <v>1159.97</v>
      </c>
      <c r="V6" s="345">
        <v>1223.97</v>
      </c>
      <c r="W6" s="345">
        <v>1137.67</v>
      </c>
      <c r="X6" s="345">
        <v>1155.57</v>
      </c>
      <c r="Y6" s="345">
        <f t="shared" si="1"/>
        <v>1177.17</v>
      </c>
      <c r="Z6" s="345"/>
      <c r="AB6" s="345">
        <v>1155.57</v>
      </c>
      <c r="AC6" s="345">
        <v>1177.17</v>
      </c>
      <c r="AD6" s="345">
        <v>1159.17</v>
      </c>
      <c r="AE6" s="345">
        <v>1177.17</v>
      </c>
      <c r="AF6" s="345">
        <v>1177.17</v>
      </c>
      <c r="AG6" s="345"/>
      <c r="AH6" s="345"/>
      <c r="AI6" s="345"/>
    </row>
    <row r="7" spans="1:36" x14ac:dyDescent="0.25">
      <c r="B7" s="113" t="s">
        <v>50</v>
      </c>
      <c r="C7" s="115">
        <v>0</v>
      </c>
      <c r="D7" s="115">
        <v>0</v>
      </c>
      <c r="E7" s="115">
        <v>0</v>
      </c>
      <c r="F7" s="115">
        <v>0</v>
      </c>
      <c r="G7" s="115">
        <v>0</v>
      </c>
      <c r="H7" s="115">
        <v>0</v>
      </c>
      <c r="I7" s="115">
        <v>0</v>
      </c>
      <c r="J7" s="344">
        <v>1692</v>
      </c>
      <c r="K7" s="344">
        <v>1861</v>
      </c>
      <c r="L7" s="344">
        <v>2050</v>
      </c>
      <c r="M7" s="344">
        <v>2201</v>
      </c>
      <c r="N7" s="344">
        <v>2310</v>
      </c>
      <c r="O7" s="345">
        <v>2310</v>
      </c>
      <c r="P7" s="345">
        <v>2194</v>
      </c>
      <c r="Q7" s="345">
        <v>2194</v>
      </c>
      <c r="R7" s="345">
        <v>2194</v>
      </c>
      <c r="S7" s="345">
        <v>2244</v>
      </c>
      <c r="T7" s="345">
        <v>2311.52</v>
      </c>
      <c r="U7" s="345">
        <v>1974.2</v>
      </c>
      <c r="V7" s="345">
        <v>2137.3649999999998</v>
      </c>
      <c r="W7" s="345">
        <v>2193.605</v>
      </c>
      <c r="X7" s="345">
        <v>2157.585</v>
      </c>
      <c r="Y7" s="345">
        <f t="shared" si="1"/>
        <v>1966.72</v>
      </c>
      <c r="Z7" s="345"/>
      <c r="AB7" s="345">
        <v>2157.585</v>
      </c>
      <c r="AC7" s="345">
        <v>2202.3850000000002</v>
      </c>
      <c r="AD7" s="345">
        <v>1946.57</v>
      </c>
      <c r="AE7" s="345">
        <v>1966.72</v>
      </c>
      <c r="AF7" s="345">
        <v>1966.72</v>
      </c>
      <c r="AG7" s="345"/>
      <c r="AH7" s="345"/>
      <c r="AI7" s="345"/>
    </row>
    <row r="8" spans="1:36" x14ac:dyDescent="0.25">
      <c r="B8" s="113" t="s">
        <v>169</v>
      </c>
      <c r="C8" s="80">
        <v>0</v>
      </c>
      <c r="D8" s="80">
        <v>0</v>
      </c>
      <c r="E8" s="80">
        <v>0</v>
      </c>
      <c r="F8" s="80">
        <v>0</v>
      </c>
      <c r="G8" s="80">
        <v>0</v>
      </c>
      <c r="H8" s="80">
        <v>0</v>
      </c>
      <c r="I8" s="80">
        <v>0</v>
      </c>
      <c r="J8" s="345">
        <f>47+185</f>
        <v>232</v>
      </c>
      <c r="K8" s="345">
        <f>220+120+57</f>
        <v>397</v>
      </c>
      <c r="L8" s="345">
        <f>341+120+90</f>
        <v>551</v>
      </c>
      <c r="M8" s="345">
        <f>363+190+285</f>
        <v>838</v>
      </c>
      <c r="N8" s="345">
        <f>411+190+350-39</f>
        <v>912</v>
      </c>
      <c r="O8" s="345">
        <f>462+370+521-50</f>
        <v>1303</v>
      </c>
      <c r="P8" s="345">
        <v>1363</v>
      </c>
      <c r="Q8" s="345">
        <f>1473</f>
        <v>1473</v>
      </c>
      <c r="R8" s="345">
        <v>1491</v>
      </c>
      <c r="S8" s="345">
        <v>1512.5</v>
      </c>
      <c r="T8" s="345">
        <v>1601.49</v>
      </c>
      <c r="U8" s="345">
        <v>1212.3</v>
      </c>
      <c r="V8" s="345">
        <v>1352.5</v>
      </c>
      <c r="W8" s="345">
        <v>1843.3999999999999</v>
      </c>
      <c r="X8" s="345">
        <v>1737.1999999999998</v>
      </c>
      <c r="Y8" s="345">
        <f t="shared" si="1"/>
        <v>1785.7249999999999</v>
      </c>
      <c r="Z8" s="345"/>
      <c r="AB8" s="345">
        <v>1765.6999999999998</v>
      </c>
      <c r="AC8" s="345">
        <v>1817.4799999999998</v>
      </c>
      <c r="AD8" s="345">
        <v>1690.2049999999999</v>
      </c>
      <c r="AE8" s="345">
        <v>1785.7249999999999</v>
      </c>
      <c r="AF8" s="345">
        <v>1785.7249999999999</v>
      </c>
      <c r="AG8" s="345"/>
      <c r="AH8" s="345"/>
      <c r="AI8" s="345"/>
    </row>
    <row r="9" spans="1:36" x14ac:dyDescent="0.25">
      <c r="B9" s="205" t="s">
        <v>3</v>
      </c>
      <c r="C9" s="141"/>
      <c r="D9" s="141"/>
      <c r="E9" s="141"/>
      <c r="F9" s="141"/>
      <c r="G9" s="141"/>
      <c r="H9" s="141"/>
      <c r="I9" s="141"/>
      <c r="J9" s="261">
        <f>SUM(J10:J11)</f>
        <v>1923</v>
      </c>
      <c r="K9" s="261">
        <f t="shared" ref="K9:U9" si="4">SUM(K10:K11)</f>
        <v>2623.5250000000005</v>
      </c>
      <c r="L9" s="261">
        <f t="shared" si="4"/>
        <v>3223.5249999999996</v>
      </c>
      <c r="M9" s="261">
        <f t="shared" si="4"/>
        <v>3421.5249999999996</v>
      </c>
      <c r="N9" s="261">
        <f t="shared" si="4"/>
        <v>3636.7749999999996</v>
      </c>
      <c r="O9" s="261">
        <f t="shared" si="4"/>
        <v>3667</v>
      </c>
      <c r="P9" s="261">
        <f t="shared" si="4"/>
        <v>3804.9</v>
      </c>
      <c r="Q9" s="261">
        <f t="shared" si="4"/>
        <v>4203</v>
      </c>
      <c r="R9" s="261">
        <f t="shared" si="4"/>
        <v>4831</v>
      </c>
      <c r="S9" s="261">
        <f t="shared" si="4"/>
        <v>5194.5</v>
      </c>
      <c r="T9" s="261">
        <f t="shared" si="4"/>
        <v>5471.6</v>
      </c>
      <c r="U9" s="261">
        <f t="shared" si="4"/>
        <v>5853.2</v>
      </c>
      <c r="V9" s="261">
        <f>SUM(V10:V11)</f>
        <v>6005.2</v>
      </c>
      <c r="W9" s="261">
        <f t="shared" ref="W9" si="5">SUM(W10:W11)</f>
        <v>6079.2669999999998</v>
      </c>
      <c r="X9" s="261">
        <f>SUM(X10:X11)</f>
        <v>6175.2669999999998</v>
      </c>
      <c r="Y9" s="261">
        <f t="shared" si="1"/>
        <v>6753.6220000000003</v>
      </c>
      <c r="Z9" s="261"/>
      <c r="AB9" s="261">
        <f>SUM(AB10:AB11)</f>
        <v>6172.3220000000001</v>
      </c>
      <c r="AC9" s="261">
        <f>SUM(AC10:AC11)</f>
        <v>6172.3220000000001</v>
      </c>
      <c r="AD9" s="261">
        <f>SUM(AD10:AD11)</f>
        <v>6172.3220000000001</v>
      </c>
      <c r="AE9" s="261">
        <f>SUM(AE10:AE11)</f>
        <v>6753.6220000000003</v>
      </c>
      <c r="AF9" s="261">
        <f>SUM(AF10:AF11)</f>
        <v>6456.5219999999999</v>
      </c>
      <c r="AG9" s="261"/>
      <c r="AH9" s="261"/>
      <c r="AI9" s="261"/>
    </row>
    <row r="10" spans="1:36" x14ac:dyDescent="0.25">
      <c r="B10" s="113" t="s">
        <v>53</v>
      </c>
      <c r="C10" s="115">
        <v>0</v>
      </c>
      <c r="D10" s="115">
        <v>0</v>
      </c>
      <c r="E10" s="115">
        <v>0</v>
      </c>
      <c r="F10" s="115">
        <v>0</v>
      </c>
      <c r="G10" s="115">
        <v>0</v>
      </c>
      <c r="H10" s="115">
        <v>0</v>
      </c>
      <c r="I10" s="115">
        <v>0</v>
      </c>
      <c r="J10" s="345">
        <v>1923</v>
      </c>
      <c r="K10" s="345">
        <v>2623.5250000000005</v>
      </c>
      <c r="L10" s="345">
        <v>3223.5249999999996</v>
      </c>
      <c r="M10" s="345">
        <v>3421.5249999999996</v>
      </c>
      <c r="N10" s="345">
        <v>3636.7749999999996</v>
      </c>
      <c r="O10" s="345">
        <f>3667-30</f>
        <v>3637</v>
      </c>
      <c r="P10" s="345">
        <v>3774.9</v>
      </c>
      <c r="Q10" s="345">
        <f>4203-30</f>
        <v>4173</v>
      </c>
      <c r="R10" s="345">
        <v>4601</v>
      </c>
      <c r="S10" s="345">
        <v>4965</v>
      </c>
      <c r="T10" s="345">
        <v>5242.1000000000004</v>
      </c>
      <c r="U10" s="345">
        <v>5623.7</v>
      </c>
      <c r="V10" s="345">
        <v>5737.9</v>
      </c>
      <c r="W10" s="345">
        <v>5749.9669999999996</v>
      </c>
      <c r="X10" s="345">
        <v>5749.9669999999996</v>
      </c>
      <c r="Y10" s="345">
        <f t="shared" si="1"/>
        <v>5948.6620000000003</v>
      </c>
      <c r="Z10" s="345"/>
      <c r="AB10" s="345">
        <v>5747.0619999999999</v>
      </c>
      <c r="AC10" s="345">
        <v>5747.0619999999999</v>
      </c>
      <c r="AD10" s="345">
        <v>5747.0619999999999</v>
      </c>
      <c r="AE10" s="345">
        <v>5948.6620000000003</v>
      </c>
      <c r="AF10" s="345">
        <v>5948.6620000000003</v>
      </c>
      <c r="AG10" s="345"/>
      <c r="AH10" s="345"/>
      <c r="AI10" s="345"/>
    </row>
    <row r="11" spans="1:36" x14ac:dyDescent="0.25">
      <c r="B11" s="113" t="s">
        <v>170</v>
      </c>
      <c r="J11" s="344" t="s">
        <v>17</v>
      </c>
      <c r="K11" s="344" t="s">
        <v>17</v>
      </c>
      <c r="L11" s="344" t="s">
        <v>17</v>
      </c>
      <c r="M11" s="344" t="s">
        <v>17</v>
      </c>
      <c r="N11" s="344" t="s">
        <v>17</v>
      </c>
      <c r="O11" s="344">
        <v>30</v>
      </c>
      <c r="P11" s="344">
        <v>30</v>
      </c>
      <c r="Q11" s="344">
        <v>30</v>
      </c>
      <c r="R11" s="345">
        <v>230</v>
      </c>
      <c r="S11" s="345">
        <f>29+200.5</f>
        <v>229.5</v>
      </c>
      <c r="T11" s="345">
        <v>229.5</v>
      </c>
      <c r="U11" s="345">
        <v>229.5</v>
      </c>
      <c r="V11" s="345">
        <v>267.3</v>
      </c>
      <c r="W11" s="345">
        <v>329.3</v>
      </c>
      <c r="X11" s="345">
        <v>425.3</v>
      </c>
      <c r="Y11" s="345">
        <f t="shared" si="1"/>
        <v>804.96</v>
      </c>
      <c r="Z11" s="345"/>
      <c r="AB11" s="345">
        <v>425.26</v>
      </c>
      <c r="AC11" s="345">
        <v>425.26</v>
      </c>
      <c r="AD11" s="345">
        <v>425.26</v>
      </c>
      <c r="AE11" s="345">
        <v>804.96</v>
      </c>
      <c r="AF11" s="345">
        <v>507.86</v>
      </c>
      <c r="AG11" s="345"/>
      <c r="AH11" s="345"/>
      <c r="AI11" s="345"/>
    </row>
    <row r="12" spans="1:36" x14ac:dyDescent="0.25">
      <c r="B12" s="205" t="s">
        <v>270</v>
      </c>
      <c r="C12" s="141">
        <v>0</v>
      </c>
      <c r="D12" s="141">
        <v>0</v>
      </c>
      <c r="E12" s="141">
        <v>0</v>
      </c>
      <c r="F12" s="141">
        <v>0</v>
      </c>
      <c r="G12" s="141">
        <v>0</v>
      </c>
      <c r="H12" s="141">
        <v>0</v>
      </c>
      <c r="I12" s="141">
        <v>0</v>
      </c>
      <c r="J12" s="261">
        <f>J13</f>
        <v>0</v>
      </c>
      <c r="K12" s="261">
        <f t="shared" ref="K12:U12" si="6">K13</f>
        <v>13.8</v>
      </c>
      <c r="L12" s="261">
        <f t="shared" si="6"/>
        <v>13.8</v>
      </c>
      <c r="M12" s="261">
        <f t="shared" si="6"/>
        <v>83.8</v>
      </c>
      <c r="N12" s="261">
        <f t="shared" si="6"/>
        <v>83.8</v>
      </c>
      <c r="O12" s="261">
        <f t="shared" si="6"/>
        <v>83.8</v>
      </c>
      <c r="P12" s="261">
        <f t="shared" si="6"/>
        <v>83.8</v>
      </c>
      <c r="Q12" s="261">
        <f t="shared" si="6"/>
        <v>84</v>
      </c>
      <c r="R12" s="261">
        <f t="shared" si="6"/>
        <v>204</v>
      </c>
      <c r="S12" s="261">
        <f t="shared" si="6"/>
        <v>331</v>
      </c>
      <c r="T12" s="261">
        <f t="shared" si="6"/>
        <v>467.2</v>
      </c>
      <c r="U12" s="261">
        <f t="shared" si="6"/>
        <v>467.2</v>
      </c>
      <c r="V12" s="261">
        <f>V13</f>
        <v>435.7</v>
      </c>
      <c r="W12" s="261">
        <f t="shared" ref="W12:X12" si="7">W13</f>
        <v>591.20000000000005</v>
      </c>
      <c r="X12" s="261">
        <f t="shared" si="7"/>
        <v>910.4</v>
      </c>
      <c r="Y12" s="261">
        <f t="shared" si="1"/>
        <v>749</v>
      </c>
      <c r="Z12" s="261"/>
      <c r="AB12" s="261">
        <f t="shared" ref="AB12:AF12" si="8">AB13</f>
        <v>910.4</v>
      </c>
      <c r="AC12" s="261">
        <f t="shared" si="8"/>
        <v>910.4</v>
      </c>
      <c r="AD12" s="261">
        <f t="shared" si="8"/>
        <v>910.4</v>
      </c>
      <c r="AE12" s="261">
        <f t="shared" si="8"/>
        <v>749</v>
      </c>
      <c r="AF12" s="261">
        <f t="shared" si="8"/>
        <v>748.3</v>
      </c>
      <c r="AG12" s="261"/>
      <c r="AH12" s="261"/>
      <c r="AI12" s="261"/>
    </row>
    <row r="13" spans="1:36" x14ac:dyDescent="0.25">
      <c r="B13" s="112" t="s">
        <v>39</v>
      </c>
      <c r="C13" s="80">
        <v>0</v>
      </c>
      <c r="D13" s="80">
        <v>0</v>
      </c>
      <c r="E13" s="80">
        <v>0</v>
      </c>
      <c r="F13" s="80">
        <v>0</v>
      </c>
      <c r="G13" s="80">
        <v>0</v>
      </c>
      <c r="H13" s="80">
        <v>0</v>
      </c>
      <c r="I13" s="80">
        <v>0</v>
      </c>
      <c r="J13" s="345">
        <v>0</v>
      </c>
      <c r="K13" s="345">
        <v>13.8</v>
      </c>
      <c r="L13" s="345">
        <v>13.8</v>
      </c>
      <c r="M13" s="345">
        <v>83.8</v>
      </c>
      <c r="N13" s="345">
        <v>83.8</v>
      </c>
      <c r="O13" s="345">
        <v>83.8</v>
      </c>
      <c r="P13" s="345">
        <v>83.8</v>
      </c>
      <c r="Q13" s="345">
        <v>84</v>
      </c>
      <c r="R13" s="345">
        <v>204</v>
      </c>
      <c r="S13" s="345">
        <v>331</v>
      </c>
      <c r="T13" s="345">
        <v>467.2</v>
      </c>
      <c r="U13" s="345">
        <v>467.2</v>
      </c>
      <c r="V13" s="345">
        <v>435.7</v>
      </c>
      <c r="W13" s="345">
        <v>591.20000000000005</v>
      </c>
      <c r="X13" s="345">
        <v>910.4</v>
      </c>
      <c r="Y13" s="345">
        <f t="shared" si="1"/>
        <v>749</v>
      </c>
      <c r="Z13" s="345"/>
      <c r="AB13" s="345">
        <v>910.4</v>
      </c>
      <c r="AC13" s="345">
        <v>910.4</v>
      </c>
      <c r="AD13" s="345">
        <v>910.4</v>
      </c>
      <c r="AE13" s="345">
        <v>749</v>
      </c>
      <c r="AF13" s="345">
        <v>748.3</v>
      </c>
      <c r="AG13" s="345"/>
      <c r="AH13" s="345"/>
      <c r="AI13" s="345"/>
    </row>
    <row r="14" spans="1:36" x14ac:dyDescent="0.25">
      <c r="B14" s="112"/>
      <c r="C14" s="80"/>
      <c r="D14" s="80"/>
      <c r="E14" s="80"/>
      <c r="F14" s="80"/>
      <c r="G14" s="80"/>
      <c r="H14" s="80"/>
      <c r="I14" s="80"/>
      <c r="J14" s="345"/>
      <c r="K14" s="345"/>
      <c r="L14" s="345"/>
      <c r="M14" s="345"/>
      <c r="N14" s="345"/>
      <c r="O14" s="345"/>
      <c r="P14" s="345"/>
      <c r="Q14" s="345"/>
      <c r="R14" s="345"/>
      <c r="S14" s="345"/>
      <c r="T14" s="345"/>
      <c r="U14" s="345"/>
      <c r="V14" s="345"/>
      <c r="W14" s="345"/>
      <c r="X14" s="345"/>
      <c r="Y14" s="345"/>
      <c r="Z14" s="345"/>
      <c r="AB14" s="345"/>
      <c r="AC14" s="345"/>
      <c r="AD14" s="345"/>
      <c r="AF14" s="345"/>
      <c r="AG14" s="345"/>
      <c r="AH14" s="345"/>
      <c r="AI14" s="345"/>
    </row>
    <row r="15" spans="1:36" x14ac:dyDescent="0.25">
      <c r="B15" s="50" t="s">
        <v>47</v>
      </c>
      <c r="C15" s="141">
        <v>0</v>
      </c>
      <c r="D15" s="141">
        <v>0</v>
      </c>
      <c r="E15" s="141">
        <v>0</v>
      </c>
      <c r="F15" s="141">
        <v>0</v>
      </c>
      <c r="G15" s="141">
        <v>0</v>
      </c>
      <c r="H15" s="141">
        <v>0</v>
      </c>
      <c r="I15" s="141">
        <v>0</v>
      </c>
      <c r="J15" s="439">
        <v>0</v>
      </c>
      <c r="K15" s="439">
        <v>0</v>
      </c>
      <c r="L15" s="439">
        <v>0</v>
      </c>
      <c r="M15" s="439">
        <v>0</v>
      </c>
      <c r="N15" s="439">
        <v>39</v>
      </c>
      <c r="O15" s="439">
        <v>50.38</v>
      </c>
      <c r="P15" s="439">
        <v>82.38</v>
      </c>
      <c r="Q15" s="439">
        <v>82</v>
      </c>
      <c r="R15" s="439">
        <v>82</v>
      </c>
      <c r="S15" s="439">
        <v>145</v>
      </c>
      <c r="T15" s="439">
        <v>145.19</v>
      </c>
      <c r="U15" s="439">
        <v>145.19</v>
      </c>
      <c r="V15" s="439">
        <v>345.19</v>
      </c>
      <c r="W15" s="439">
        <v>644.83999999999992</v>
      </c>
      <c r="X15" s="439">
        <v>1673.855861</v>
      </c>
      <c r="Y15" s="439">
        <f>AE15</f>
        <v>3393.0840239999998</v>
      </c>
      <c r="Z15" s="439"/>
      <c r="AB15" s="439">
        <v>1725.700229</v>
      </c>
      <c r="AC15" s="439">
        <v>2049.762667</v>
      </c>
      <c r="AD15" s="439">
        <v>2475.1588510000001</v>
      </c>
      <c r="AE15" s="439">
        <v>3393.0840239999998</v>
      </c>
      <c r="AF15" s="439">
        <v>3614.3791719999999</v>
      </c>
      <c r="AG15" s="439"/>
      <c r="AH15" s="439"/>
      <c r="AI15" s="439"/>
    </row>
    <row r="16" spans="1:36" x14ac:dyDescent="0.25">
      <c r="B16" s="110" t="s">
        <v>41</v>
      </c>
      <c r="C16" s="115" t="s">
        <v>17</v>
      </c>
      <c r="D16" s="115" t="s">
        <v>17</v>
      </c>
      <c r="E16" s="115" t="s">
        <v>17</v>
      </c>
      <c r="F16" s="115" t="s">
        <v>17</v>
      </c>
      <c r="G16" s="115" t="s">
        <v>17</v>
      </c>
      <c r="H16" s="115" t="s">
        <v>17</v>
      </c>
      <c r="I16" s="115" t="s">
        <v>17</v>
      </c>
      <c r="J16" s="439">
        <v>0</v>
      </c>
      <c r="K16" s="439">
        <v>0</v>
      </c>
      <c r="L16" s="439">
        <v>0</v>
      </c>
      <c r="M16" s="439">
        <v>0</v>
      </c>
      <c r="N16" s="439">
        <v>39</v>
      </c>
      <c r="O16" s="439">
        <v>50</v>
      </c>
      <c r="P16" s="439">
        <v>52</v>
      </c>
      <c r="Q16" s="439">
        <v>52</v>
      </c>
      <c r="R16" s="439">
        <v>52</v>
      </c>
      <c r="S16" s="439">
        <v>55</v>
      </c>
      <c r="T16" s="439">
        <v>55</v>
      </c>
      <c r="U16" s="439">
        <v>55</v>
      </c>
      <c r="V16" s="439">
        <v>54.88</v>
      </c>
      <c r="W16" s="439">
        <v>54.88</v>
      </c>
      <c r="X16" s="439">
        <v>227.47853999999998</v>
      </c>
      <c r="Y16" s="439">
        <f>AE16</f>
        <v>841.85216099999991</v>
      </c>
      <c r="Z16" s="439"/>
      <c r="AB16" s="439">
        <v>252.72730899999999</v>
      </c>
      <c r="AC16" s="439">
        <v>460.44939300000004</v>
      </c>
      <c r="AD16" s="439">
        <v>714.85709399999996</v>
      </c>
      <c r="AE16" s="439">
        <v>841.85216099999991</v>
      </c>
      <c r="AF16" s="439">
        <v>894.87143300000014</v>
      </c>
      <c r="AG16" s="439"/>
      <c r="AH16" s="439"/>
      <c r="AI16" s="439"/>
    </row>
    <row r="17" spans="2:35" x14ac:dyDescent="0.25">
      <c r="B17" s="110" t="s">
        <v>3</v>
      </c>
      <c r="C17" s="115" t="s">
        <v>17</v>
      </c>
      <c r="D17" s="115" t="s">
        <v>17</v>
      </c>
      <c r="E17" s="115" t="s">
        <v>17</v>
      </c>
      <c r="F17" s="115" t="s">
        <v>17</v>
      </c>
      <c r="G17" s="115" t="s">
        <v>17</v>
      </c>
      <c r="H17" s="115" t="s">
        <v>17</v>
      </c>
      <c r="I17" s="115" t="s">
        <v>17</v>
      </c>
      <c r="J17" s="439">
        <v>0</v>
      </c>
      <c r="K17" s="439">
        <v>0</v>
      </c>
      <c r="L17" s="439">
        <v>0</v>
      </c>
      <c r="M17" s="439">
        <v>0</v>
      </c>
      <c r="N17" s="439">
        <v>0</v>
      </c>
      <c r="O17" s="439">
        <v>0</v>
      </c>
      <c r="P17" s="439">
        <v>30</v>
      </c>
      <c r="Q17" s="439">
        <v>30</v>
      </c>
      <c r="R17" s="439">
        <v>30</v>
      </c>
      <c r="S17" s="439">
        <v>90</v>
      </c>
      <c r="T17" s="439">
        <v>90</v>
      </c>
      <c r="U17" s="439">
        <v>90</v>
      </c>
      <c r="V17" s="439">
        <v>290.31</v>
      </c>
      <c r="W17" s="439">
        <v>358.45</v>
      </c>
      <c r="X17" s="439">
        <v>474.90999999999997</v>
      </c>
      <c r="Y17" s="439">
        <f>AE17</f>
        <v>1141.8499999999999</v>
      </c>
      <c r="Z17" s="439"/>
      <c r="AB17" s="439">
        <v>474.90999999999997</v>
      </c>
      <c r="AC17" s="439">
        <v>532.54999999999995</v>
      </c>
      <c r="AD17" s="439">
        <v>650.89</v>
      </c>
      <c r="AE17" s="439">
        <v>1141.8499999999999</v>
      </c>
      <c r="AF17" s="439">
        <v>1216.25</v>
      </c>
      <c r="AG17" s="439"/>
      <c r="AH17" s="439"/>
      <c r="AI17" s="439"/>
    </row>
    <row r="18" spans="2:35" x14ac:dyDescent="0.25">
      <c r="B18" s="110" t="s">
        <v>270</v>
      </c>
      <c r="C18" s="115"/>
      <c r="D18" s="115"/>
      <c r="E18" s="115"/>
      <c r="F18" s="115"/>
      <c r="G18" s="115"/>
      <c r="H18" s="115"/>
      <c r="I18" s="115"/>
      <c r="J18" s="439">
        <f t="shared" ref="J18:O18" si="9">J19</f>
        <v>0</v>
      </c>
      <c r="K18" s="439">
        <f t="shared" si="9"/>
        <v>0</v>
      </c>
      <c r="L18" s="439">
        <f t="shared" si="9"/>
        <v>0</v>
      </c>
      <c r="M18" s="439">
        <f t="shared" si="9"/>
        <v>0</v>
      </c>
      <c r="N18" s="439">
        <f t="shared" si="9"/>
        <v>0</v>
      </c>
      <c r="O18" s="439">
        <f t="shared" si="9"/>
        <v>0</v>
      </c>
      <c r="P18" s="439">
        <f t="shared" ref="P18:X18" si="10">P19</f>
        <v>0</v>
      </c>
      <c r="Q18" s="439">
        <f t="shared" si="10"/>
        <v>0</v>
      </c>
      <c r="R18" s="439">
        <f t="shared" si="10"/>
        <v>0</v>
      </c>
      <c r="S18" s="439">
        <f t="shared" si="10"/>
        <v>0</v>
      </c>
      <c r="T18" s="439">
        <f t="shared" si="10"/>
        <v>0</v>
      </c>
      <c r="U18" s="439">
        <f t="shared" si="10"/>
        <v>0</v>
      </c>
      <c r="V18" s="439">
        <f t="shared" si="10"/>
        <v>0</v>
      </c>
      <c r="W18" s="439">
        <f t="shared" si="10"/>
        <v>231.51</v>
      </c>
      <c r="X18" s="439">
        <f t="shared" si="10"/>
        <v>971.46732100000008</v>
      </c>
      <c r="Y18" s="439">
        <f>AE18</f>
        <v>1409.3818630000001</v>
      </c>
      <c r="Z18" s="439"/>
      <c r="AA18" s="344"/>
      <c r="AB18" s="439">
        <f t="shared" ref="AB18:AF18" si="11">AB19</f>
        <v>998.06292000000008</v>
      </c>
      <c r="AC18" s="439">
        <f t="shared" si="11"/>
        <v>1056.7632739999999</v>
      </c>
      <c r="AD18" s="439">
        <f t="shared" si="11"/>
        <v>1109.4117570000001</v>
      </c>
      <c r="AE18" s="439">
        <f t="shared" si="11"/>
        <v>1409.3818630000001</v>
      </c>
      <c r="AF18" s="439">
        <f t="shared" si="11"/>
        <v>1503.2577389999999</v>
      </c>
      <c r="AG18" s="439"/>
      <c r="AH18" s="439"/>
      <c r="AI18" s="439"/>
    </row>
    <row r="19" spans="2:35" x14ac:dyDescent="0.25">
      <c r="B19" s="113" t="s">
        <v>171</v>
      </c>
      <c r="C19" s="115" t="s">
        <v>17</v>
      </c>
      <c r="D19" s="115" t="s">
        <v>17</v>
      </c>
      <c r="E19" s="115" t="s">
        <v>17</v>
      </c>
      <c r="F19" s="115" t="s">
        <v>17</v>
      </c>
      <c r="G19" s="115" t="s">
        <v>17</v>
      </c>
      <c r="H19" s="115" t="s">
        <v>17</v>
      </c>
      <c r="I19" s="115" t="s">
        <v>17</v>
      </c>
      <c r="J19" s="344">
        <v>0</v>
      </c>
      <c r="K19" s="344">
        <v>0</v>
      </c>
      <c r="L19" s="344">
        <v>0</v>
      </c>
      <c r="M19" s="344">
        <v>0</v>
      </c>
      <c r="N19" s="344">
        <v>0</v>
      </c>
      <c r="O19" s="344">
        <v>0</v>
      </c>
      <c r="P19" s="344">
        <v>0</v>
      </c>
      <c r="Q19" s="344">
        <v>0</v>
      </c>
      <c r="R19" s="344">
        <v>0</v>
      </c>
      <c r="S19" s="344">
        <v>0</v>
      </c>
      <c r="T19" s="344">
        <v>0</v>
      </c>
      <c r="U19" s="344">
        <v>0</v>
      </c>
      <c r="V19" s="344">
        <v>0</v>
      </c>
      <c r="W19" s="344">
        <v>231.51</v>
      </c>
      <c r="X19" s="344">
        <v>971.46732100000008</v>
      </c>
      <c r="Y19" s="344">
        <f>AE19</f>
        <v>1409.3818630000001</v>
      </c>
      <c r="Z19" s="344"/>
      <c r="AB19" s="344">
        <v>998.06292000000008</v>
      </c>
      <c r="AC19" s="344">
        <v>1056.7632739999999</v>
      </c>
      <c r="AD19" s="344">
        <v>1109.4117570000001</v>
      </c>
      <c r="AE19" s="344">
        <v>1409.3818630000001</v>
      </c>
      <c r="AF19" s="344">
        <v>1503.2577389999999</v>
      </c>
      <c r="AG19" s="344"/>
      <c r="AH19" s="344"/>
      <c r="AI19" s="344"/>
    </row>
    <row r="20" spans="2:35" x14ac:dyDescent="0.25">
      <c r="B20" s="108"/>
      <c r="C20" s="80"/>
      <c r="D20" s="80"/>
      <c r="E20" s="80"/>
      <c r="F20" s="80"/>
      <c r="G20" s="80"/>
      <c r="H20" s="80"/>
      <c r="I20" s="80"/>
      <c r="J20" s="345"/>
      <c r="K20" s="345"/>
      <c r="L20" s="345"/>
      <c r="M20" s="345"/>
      <c r="N20" s="345"/>
      <c r="O20" s="345"/>
      <c r="P20" s="345"/>
      <c r="Q20" s="345"/>
      <c r="R20" s="345"/>
      <c r="S20" s="345"/>
      <c r="T20" s="345"/>
      <c r="U20" s="345"/>
      <c r="V20" s="345"/>
      <c r="W20" s="345"/>
      <c r="X20" s="345"/>
      <c r="Y20" s="345"/>
      <c r="Z20" s="345"/>
      <c r="AB20" s="345"/>
      <c r="AC20" s="345"/>
      <c r="AD20" s="345"/>
      <c r="AF20" s="345"/>
      <c r="AG20" s="345"/>
      <c r="AH20" s="345"/>
      <c r="AI20" s="345"/>
    </row>
    <row r="21" spans="2:35" x14ac:dyDescent="0.25">
      <c r="B21" s="50" t="s">
        <v>37</v>
      </c>
      <c r="C21" s="65">
        <v>0</v>
      </c>
      <c r="D21" s="65">
        <v>0</v>
      </c>
      <c r="E21" s="65">
        <v>0</v>
      </c>
      <c r="F21" s="65">
        <v>0</v>
      </c>
      <c r="G21" s="65">
        <v>0</v>
      </c>
      <c r="H21" s="65">
        <v>0</v>
      </c>
      <c r="I21" s="65">
        <v>0</v>
      </c>
      <c r="J21" s="261">
        <f t="shared" ref="J21:S21" si="12">J23+J28+J30</f>
        <v>6860.6880000000001</v>
      </c>
      <c r="K21" s="261">
        <f t="shared" si="12"/>
        <v>6895.7080000000005</v>
      </c>
      <c r="L21" s="261">
        <f t="shared" si="12"/>
        <v>6898.875</v>
      </c>
      <c r="M21" s="261">
        <f t="shared" si="12"/>
        <v>7391.125</v>
      </c>
      <c r="N21" s="261">
        <f t="shared" si="12"/>
        <v>7649.43</v>
      </c>
      <c r="O21" s="261">
        <f t="shared" si="12"/>
        <v>7650.866</v>
      </c>
      <c r="P21" s="261">
        <f t="shared" si="12"/>
        <v>7666.4660000000003</v>
      </c>
      <c r="Q21" s="261">
        <f t="shared" si="12"/>
        <v>7778</v>
      </c>
      <c r="R21" s="261">
        <f t="shared" si="12"/>
        <v>8105</v>
      </c>
      <c r="S21" s="261">
        <f t="shared" si="12"/>
        <v>9018</v>
      </c>
      <c r="T21" s="261">
        <v>8792.3549999999996</v>
      </c>
      <c r="U21" s="261">
        <v>8784.84</v>
      </c>
      <c r="V21" s="261">
        <v>7126.7</v>
      </c>
      <c r="W21" s="261">
        <v>7126.6999900000001</v>
      </c>
      <c r="X21" s="261">
        <v>6928.6999900000001</v>
      </c>
      <c r="Y21" s="261">
        <f t="shared" ref="Y21:Y30" si="13">AE21</f>
        <v>6920.98999</v>
      </c>
      <c r="Z21" s="261"/>
      <c r="AB21" s="261">
        <v>6920.98999</v>
      </c>
      <c r="AC21" s="261">
        <v>6920.98999</v>
      </c>
      <c r="AD21" s="261">
        <v>6920.98999</v>
      </c>
      <c r="AE21" s="261">
        <v>6920.98999</v>
      </c>
      <c r="AF21" s="261">
        <v>6920.98999</v>
      </c>
      <c r="AG21" s="261"/>
      <c r="AH21" s="261"/>
      <c r="AI21" s="261"/>
    </row>
    <row r="22" spans="2:35" x14ac:dyDescent="0.25">
      <c r="B22" s="50" t="s">
        <v>41</v>
      </c>
      <c r="C22" s="65"/>
      <c r="D22" s="65"/>
      <c r="E22" s="65"/>
      <c r="F22" s="65"/>
      <c r="G22" s="65"/>
      <c r="H22" s="65"/>
      <c r="I22" s="65"/>
      <c r="J22" s="261">
        <f>J23+J28</f>
        <v>5164.0020000000004</v>
      </c>
      <c r="K22" s="261">
        <f t="shared" ref="K22:U22" si="14">K23+K28</f>
        <v>5163.8220000000001</v>
      </c>
      <c r="L22" s="261">
        <f t="shared" si="14"/>
        <v>5163.9840000000004</v>
      </c>
      <c r="M22" s="261">
        <f t="shared" si="14"/>
        <v>5600.9840000000004</v>
      </c>
      <c r="N22" s="261">
        <f t="shared" si="14"/>
        <v>5855.3840000000009</v>
      </c>
      <c r="O22" s="261">
        <f t="shared" si="14"/>
        <v>5853.9839999999995</v>
      </c>
      <c r="P22" s="261">
        <f t="shared" si="14"/>
        <v>5869.5839999999998</v>
      </c>
      <c r="Q22" s="261">
        <f t="shared" si="14"/>
        <v>5981</v>
      </c>
      <c r="R22" s="261">
        <f t="shared" si="14"/>
        <v>6360</v>
      </c>
      <c r="S22" s="261">
        <f t="shared" si="14"/>
        <v>7272</v>
      </c>
      <c r="T22" s="261">
        <f t="shared" si="14"/>
        <v>7193.1049999999996</v>
      </c>
      <c r="U22" s="261">
        <f t="shared" si="14"/>
        <v>7185.5899999999992</v>
      </c>
      <c r="V22" s="261">
        <f>V23+V28</f>
        <v>5527.45</v>
      </c>
      <c r="W22" s="261">
        <f t="shared" ref="W22" si="15">W23+W28</f>
        <v>5527.4499900000001</v>
      </c>
      <c r="X22" s="261">
        <v>5527.4499900000001</v>
      </c>
      <c r="Y22" s="261">
        <f t="shared" si="13"/>
        <v>5519.73999</v>
      </c>
      <c r="Z22" s="261"/>
      <c r="AA22" s="261"/>
      <c r="AB22" s="261">
        <f>AB23+AB28</f>
        <v>5519.73999</v>
      </c>
      <c r="AC22" s="261">
        <f>AC23+AC28</f>
        <v>5519.73999</v>
      </c>
      <c r="AD22" s="261">
        <f>AD23+AD28</f>
        <v>5519.73999</v>
      </c>
      <c r="AE22" s="261">
        <f>AE23+AE28</f>
        <v>5519.73999</v>
      </c>
      <c r="AF22" s="261">
        <f>AF23+AF28</f>
        <v>5519.73999</v>
      </c>
      <c r="AG22" s="261"/>
      <c r="AH22" s="261"/>
      <c r="AI22" s="261"/>
    </row>
    <row r="23" spans="2:35" x14ac:dyDescent="0.25">
      <c r="B23" s="109" t="s">
        <v>51</v>
      </c>
      <c r="C23" s="65">
        <v>0</v>
      </c>
      <c r="D23" s="65">
        <v>0</v>
      </c>
      <c r="E23" s="65">
        <v>0</v>
      </c>
      <c r="F23" s="65">
        <v>0</v>
      </c>
      <c r="G23" s="65">
        <v>0</v>
      </c>
      <c r="H23" s="65">
        <v>0</v>
      </c>
      <c r="I23" s="65">
        <v>0</v>
      </c>
      <c r="J23" s="344">
        <v>4737.6040000000003</v>
      </c>
      <c r="K23" s="344">
        <v>4737.424</v>
      </c>
      <c r="L23" s="344">
        <v>4737.5860000000002</v>
      </c>
      <c r="M23" s="344">
        <v>5174.5860000000002</v>
      </c>
      <c r="N23" s="344">
        <v>5428.9860000000008</v>
      </c>
      <c r="O23" s="344">
        <v>5427.5859999999993</v>
      </c>
      <c r="P23" s="344">
        <v>5443.1859999999997</v>
      </c>
      <c r="Q23" s="344">
        <f>Q25+Q26+Q27+2101</f>
        <v>5555</v>
      </c>
      <c r="R23" s="345">
        <f>SUM(R25:R27)</f>
        <v>5934</v>
      </c>
      <c r="S23" s="345">
        <f>SUM(S25:S27)</f>
        <v>6846</v>
      </c>
      <c r="T23" s="345">
        <v>6766.7069999999994</v>
      </c>
      <c r="U23" s="345">
        <v>6759.1919999999991</v>
      </c>
      <c r="V23" s="345">
        <v>5076.0519999999997</v>
      </c>
      <c r="W23" s="345">
        <v>5076.0519899999999</v>
      </c>
      <c r="X23" s="345">
        <v>5076.0519899999999</v>
      </c>
      <c r="Y23" s="345">
        <f t="shared" si="13"/>
        <v>5076.0519899999999</v>
      </c>
      <c r="Z23" s="345"/>
      <c r="AB23" s="345">
        <v>5076.0519899999999</v>
      </c>
      <c r="AC23" s="345">
        <v>5076.0519899999999</v>
      </c>
      <c r="AD23" s="345">
        <v>5076.0519899999999</v>
      </c>
      <c r="AE23" s="345">
        <v>5076.0519899999999</v>
      </c>
      <c r="AF23" s="345">
        <v>5076.0519899999999</v>
      </c>
      <c r="AG23" s="345"/>
      <c r="AH23" s="345"/>
      <c r="AI23" s="345"/>
    </row>
    <row r="24" spans="2:35" x14ac:dyDescent="0.25">
      <c r="B24" s="155" t="s">
        <v>105</v>
      </c>
      <c r="C24" s="65">
        <v>0</v>
      </c>
      <c r="D24" s="65">
        <v>0</v>
      </c>
      <c r="E24" s="65">
        <v>0</v>
      </c>
      <c r="F24" s="65">
        <v>0</v>
      </c>
      <c r="G24" s="65">
        <v>0</v>
      </c>
      <c r="H24" s="65">
        <v>0</v>
      </c>
      <c r="I24" s="65">
        <v>0</v>
      </c>
      <c r="J24" s="344">
        <v>0</v>
      </c>
      <c r="K24" s="344">
        <v>0</v>
      </c>
      <c r="L24" s="344">
        <v>0</v>
      </c>
      <c r="M24" s="344">
        <v>0</v>
      </c>
      <c r="N24" s="344">
        <v>0</v>
      </c>
      <c r="O24" s="344">
        <v>0</v>
      </c>
      <c r="P24" s="344">
        <v>0</v>
      </c>
      <c r="Q24" s="344">
        <v>0</v>
      </c>
      <c r="R24" s="345">
        <v>1781</v>
      </c>
      <c r="S24" s="345">
        <v>2806</v>
      </c>
      <c r="T24" s="345">
        <v>2806.44</v>
      </c>
      <c r="U24" s="345">
        <v>2806.44</v>
      </c>
      <c r="V24" s="345">
        <v>2357.5</v>
      </c>
      <c r="W24" s="345">
        <v>2357.5</v>
      </c>
      <c r="X24" s="345">
        <v>2357.5</v>
      </c>
      <c r="Y24" s="345">
        <f t="shared" si="13"/>
        <v>2357.5</v>
      </c>
      <c r="Z24" s="345"/>
      <c r="AB24" s="345">
        <v>2357.5</v>
      </c>
      <c r="AC24" s="345">
        <v>2357.5</v>
      </c>
      <c r="AD24" s="345">
        <v>2357.5</v>
      </c>
      <c r="AE24" s="345">
        <v>2357.5</v>
      </c>
      <c r="AF24" s="345">
        <v>2357.5</v>
      </c>
      <c r="AG24" s="345"/>
      <c r="AH24" s="345"/>
      <c r="AI24" s="345"/>
    </row>
    <row r="25" spans="2:35" x14ac:dyDescent="0.25">
      <c r="B25" s="38" t="s">
        <v>103</v>
      </c>
      <c r="C25" s="65">
        <v>0</v>
      </c>
      <c r="D25" s="65">
        <v>0</v>
      </c>
      <c r="E25" s="65">
        <v>0</v>
      </c>
      <c r="F25" s="65">
        <v>0</v>
      </c>
      <c r="G25" s="65">
        <v>0</v>
      </c>
      <c r="H25" s="65">
        <v>0</v>
      </c>
      <c r="I25" s="65">
        <v>0</v>
      </c>
      <c r="J25" s="344">
        <v>1860</v>
      </c>
      <c r="K25" s="344">
        <v>1860</v>
      </c>
      <c r="L25" s="344">
        <v>1860</v>
      </c>
      <c r="M25" s="344">
        <v>1860</v>
      </c>
      <c r="N25" s="344">
        <v>1860</v>
      </c>
      <c r="O25" s="344">
        <v>1860.4</v>
      </c>
      <c r="P25" s="344">
        <v>1056.4000000000001</v>
      </c>
      <c r="Q25" s="344">
        <v>1056</v>
      </c>
      <c r="R25" s="345">
        <v>2479</v>
      </c>
      <c r="S25" s="345">
        <v>2395</v>
      </c>
      <c r="T25" s="345">
        <v>2407.9</v>
      </c>
      <c r="U25" s="345">
        <v>2407.9</v>
      </c>
      <c r="V25" s="345">
        <v>1173.6999999999998</v>
      </c>
      <c r="W25" s="345">
        <v>1173.6999999999998</v>
      </c>
      <c r="X25" s="345">
        <v>1173.7</v>
      </c>
      <c r="Y25" s="345">
        <f t="shared" si="13"/>
        <v>1173.7</v>
      </c>
      <c r="Z25" s="345"/>
      <c r="AB25" s="345">
        <v>1173.7</v>
      </c>
      <c r="AC25" s="345">
        <v>1173.7000000000003</v>
      </c>
      <c r="AD25" s="345">
        <v>1173.6999999999998</v>
      </c>
      <c r="AE25" s="345">
        <v>1173.7</v>
      </c>
      <c r="AF25" s="345">
        <v>1173.7</v>
      </c>
      <c r="AG25" s="345"/>
      <c r="AH25" s="345"/>
      <c r="AI25" s="345"/>
    </row>
    <row r="26" spans="2:35" x14ac:dyDescent="0.25">
      <c r="B26" s="38" t="s">
        <v>104</v>
      </c>
      <c r="C26" s="65">
        <v>0</v>
      </c>
      <c r="D26" s="65">
        <v>0</v>
      </c>
      <c r="E26" s="65">
        <v>0</v>
      </c>
      <c r="F26" s="65">
        <v>0</v>
      </c>
      <c r="G26" s="65">
        <v>0</v>
      </c>
      <c r="H26" s="65">
        <v>0</v>
      </c>
      <c r="I26" s="65">
        <v>0</v>
      </c>
      <c r="J26" s="344">
        <v>2234</v>
      </c>
      <c r="K26" s="344">
        <v>2234</v>
      </c>
      <c r="L26" s="344">
        <v>2234</v>
      </c>
      <c r="M26" s="344">
        <v>2234</v>
      </c>
      <c r="N26" s="344">
        <v>2234</v>
      </c>
      <c r="O26" s="344">
        <v>2234</v>
      </c>
      <c r="P26" s="344">
        <v>2234</v>
      </c>
      <c r="Q26" s="344">
        <v>2234</v>
      </c>
      <c r="R26" s="345">
        <v>3296</v>
      </c>
      <c r="S26" s="345">
        <v>4303</v>
      </c>
      <c r="T26" s="345">
        <v>4294.2559999999994</v>
      </c>
      <c r="U26" s="345">
        <v>4294.2559999999994</v>
      </c>
      <c r="V26" s="345">
        <v>3845.3159999999998</v>
      </c>
      <c r="W26" s="345">
        <v>3845.3159900000001</v>
      </c>
      <c r="X26" s="345">
        <v>3845.3159900000001</v>
      </c>
      <c r="Y26" s="345">
        <f t="shared" si="13"/>
        <v>3845.3159900000001</v>
      </c>
      <c r="Z26" s="345"/>
      <c r="AB26" s="345">
        <v>3845.3159900000001</v>
      </c>
      <c r="AC26" s="345">
        <v>3845.3159900000001</v>
      </c>
      <c r="AD26" s="345">
        <v>3845.3159900000001</v>
      </c>
      <c r="AE26" s="345">
        <v>3845.3159900000001</v>
      </c>
      <c r="AF26" s="345">
        <v>3845.3159900000001</v>
      </c>
      <c r="AG26" s="345"/>
      <c r="AH26" s="345"/>
      <c r="AI26" s="345"/>
    </row>
    <row r="27" spans="2:35" x14ac:dyDescent="0.25">
      <c r="B27" s="38" t="s">
        <v>106</v>
      </c>
      <c r="C27" s="65">
        <v>0</v>
      </c>
      <c r="D27" s="65">
        <v>0</v>
      </c>
      <c r="E27" s="65">
        <v>0</v>
      </c>
      <c r="F27" s="65">
        <v>0</v>
      </c>
      <c r="G27" s="65">
        <v>0</v>
      </c>
      <c r="H27" s="65">
        <v>0</v>
      </c>
      <c r="I27" s="65">
        <v>0</v>
      </c>
      <c r="J27" s="344">
        <v>159.70700000000002</v>
      </c>
      <c r="K27" s="344">
        <v>159.52700000000002</v>
      </c>
      <c r="L27" s="344">
        <v>159.68899999999999</v>
      </c>
      <c r="M27" s="344">
        <v>159.68899999999999</v>
      </c>
      <c r="N27" s="344">
        <v>156.68899999999999</v>
      </c>
      <c r="O27" s="344">
        <v>156.68899999999999</v>
      </c>
      <c r="P27" s="344">
        <v>156.68899999999999</v>
      </c>
      <c r="Q27" s="344">
        <v>164</v>
      </c>
      <c r="R27" s="345">
        <v>159</v>
      </c>
      <c r="S27" s="345">
        <v>148</v>
      </c>
      <c r="T27" s="345">
        <v>64.550999999999988</v>
      </c>
      <c r="U27" s="345">
        <v>57.035999999999994</v>
      </c>
      <c r="V27" s="345">
        <v>57.036000000000001</v>
      </c>
      <c r="W27" s="345">
        <v>57.036000000000001</v>
      </c>
      <c r="X27" s="345">
        <v>57.036000000000008</v>
      </c>
      <c r="Y27" s="345">
        <f t="shared" si="13"/>
        <v>57.036000000000001</v>
      </c>
      <c r="Z27" s="345"/>
      <c r="AB27" s="345">
        <v>57.036000000000001</v>
      </c>
      <c r="AC27" s="345">
        <v>57.036000000000008</v>
      </c>
      <c r="AD27" s="345">
        <v>57.036000000000001</v>
      </c>
      <c r="AE27" s="345">
        <v>57.036000000000001</v>
      </c>
      <c r="AF27" s="345">
        <v>57.036000000000001</v>
      </c>
      <c r="AG27" s="345"/>
      <c r="AH27" s="345"/>
      <c r="AI27" s="345"/>
    </row>
    <row r="28" spans="2:35" x14ac:dyDescent="0.25">
      <c r="B28" s="109" t="s">
        <v>50</v>
      </c>
      <c r="C28" s="65">
        <v>0</v>
      </c>
      <c r="D28" s="65">
        <v>0</v>
      </c>
      <c r="E28" s="65">
        <v>0</v>
      </c>
      <c r="F28" s="65">
        <v>0</v>
      </c>
      <c r="G28" s="65">
        <v>0</v>
      </c>
      <c r="H28" s="65">
        <v>0</v>
      </c>
      <c r="I28" s="65">
        <v>0</v>
      </c>
      <c r="J28" s="345">
        <v>426.39800000000002</v>
      </c>
      <c r="K28" s="345">
        <v>426.39800000000002</v>
      </c>
      <c r="L28" s="345">
        <v>426.39800000000002</v>
      </c>
      <c r="M28" s="345">
        <v>426.39800000000002</v>
      </c>
      <c r="N28" s="345">
        <v>426.39800000000002</v>
      </c>
      <c r="O28" s="345">
        <v>426.39800000000002</v>
      </c>
      <c r="P28" s="345">
        <v>426.39800000000002</v>
      </c>
      <c r="Q28" s="345">
        <v>426</v>
      </c>
      <c r="R28" s="345">
        <v>426</v>
      </c>
      <c r="S28" s="345">
        <v>426</v>
      </c>
      <c r="T28" s="345">
        <v>426.39800000000002</v>
      </c>
      <c r="U28" s="345">
        <v>426.39800000000002</v>
      </c>
      <c r="V28" s="345">
        <v>451.39800000000008</v>
      </c>
      <c r="W28" s="345">
        <v>451.39800000000014</v>
      </c>
      <c r="X28" s="345">
        <v>451.39800000000002</v>
      </c>
      <c r="Y28" s="345">
        <f t="shared" si="13"/>
        <v>443.68800000000005</v>
      </c>
      <c r="Z28" s="345"/>
      <c r="AB28" s="345">
        <v>443.68800000000005</v>
      </c>
      <c r="AC28" s="345">
        <v>443.68800000000005</v>
      </c>
      <c r="AD28" s="345">
        <v>443.68800000000005</v>
      </c>
      <c r="AE28" s="345">
        <v>443.68800000000005</v>
      </c>
      <c r="AF28" s="345">
        <v>443.68800000000005</v>
      </c>
      <c r="AG28" s="345"/>
      <c r="AH28" s="345"/>
      <c r="AI28" s="345"/>
    </row>
    <row r="29" spans="2:35" x14ac:dyDescent="0.25">
      <c r="B29" s="204" t="s">
        <v>270</v>
      </c>
      <c r="C29" s="65"/>
      <c r="D29" s="65"/>
      <c r="E29" s="65"/>
      <c r="F29" s="65"/>
      <c r="G29" s="65"/>
      <c r="H29" s="65"/>
      <c r="I29" s="65"/>
      <c r="J29" s="261">
        <f>J30</f>
        <v>1696.6860000000001</v>
      </c>
      <c r="K29" s="261">
        <f t="shared" ref="K29:U29" si="16">K30</f>
        <v>1731.886</v>
      </c>
      <c r="L29" s="261">
        <f t="shared" si="16"/>
        <v>1734.8910000000001</v>
      </c>
      <c r="M29" s="261">
        <f t="shared" si="16"/>
        <v>1790.1410000000001</v>
      </c>
      <c r="N29" s="261">
        <f t="shared" si="16"/>
        <v>1794.0459999999998</v>
      </c>
      <c r="O29" s="261">
        <f t="shared" si="16"/>
        <v>1796.8820000000001</v>
      </c>
      <c r="P29" s="261">
        <f t="shared" si="16"/>
        <v>1796.8820000000001</v>
      </c>
      <c r="Q29" s="261">
        <f t="shared" si="16"/>
        <v>1797</v>
      </c>
      <c r="R29" s="261">
        <f t="shared" si="16"/>
        <v>1745</v>
      </c>
      <c r="S29" s="261">
        <f t="shared" si="16"/>
        <v>1746</v>
      </c>
      <c r="T29" s="261">
        <f t="shared" si="16"/>
        <v>1599.25</v>
      </c>
      <c r="U29" s="261">
        <f t="shared" si="16"/>
        <v>1599.25</v>
      </c>
      <c r="V29" s="261">
        <f>V30</f>
        <v>1599.25</v>
      </c>
      <c r="W29" s="261">
        <f t="shared" ref="W29" si="17">W30</f>
        <v>1599.25</v>
      </c>
      <c r="X29" s="261">
        <f>X30</f>
        <v>1401.25</v>
      </c>
      <c r="Y29" s="261">
        <f t="shared" si="13"/>
        <v>1401.25</v>
      </c>
      <c r="Z29" s="261"/>
      <c r="AA29" s="261"/>
      <c r="AB29" s="261">
        <f>AB30</f>
        <v>1401.25</v>
      </c>
      <c r="AC29" s="261">
        <f>AC30</f>
        <v>1401.25</v>
      </c>
      <c r="AD29" s="261">
        <f>AD30</f>
        <v>1401.25</v>
      </c>
      <c r="AE29" s="261">
        <f>AE30</f>
        <v>1401.25</v>
      </c>
      <c r="AF29" s="261">
        <f>AF30</f>
        <v>1401.25</v>
      </c>
      <c r="AG29" s="261"/>
      <c r="AH29" s="261"/>
      <c r="AI29" s="261"/>
    </row>
    <row r="30" spans="2:35" x14ac:dyDescent="0.25">
      <c r="B30" s="109" t="s">
        <v>39</v>
      </c>
      <c r="C30" s="65">
        <v>0</v>
      </c>
      <c r="D30" s="65">
        <v>0</v>
      </c>
      <c r="E30" s="65">
        <v>0</v>
      </c>
      <c r="F30" s="65">
        <v>0</v>
      </c>
      <c r="G30" s="65">
        <v>0</v>
      </c>
      <c r="H30" s="65">
        <v>0</v>
      </c>
      <c r="I30" s="65">
        <v>0</v>
      </c>
      <c r="J30" s="345">
        <v>1696.6860000000001</v>
      </c>
      <c r="K30" s="345">
        <v>1731.886</v>
      </c>
      <c r="L30" s="345">
        <v>1734.8910000000001</v>
      </c>
      <c r="M30" s="345">
        <v>1790.1410000000001</v>
      </c>
      <c r="N30" s="345">
        <v>1794.0459999999998</v>
      </c>
      <c r="O30" s="345">
        <v>1796.8820000000001</v>
      </c>
      <c r="P30" s="345">
        <v>1796.8820000000001</v>
      </c>
      <c r="Q30" s="345">
        <v>1797</v>
      </c>
      <c r="R30" s="345">
        <v>1745</v>
      </c>
      <c r="S30" s="345">
        <v>1746</v>
      </c>
      <c r="T30" s="345">
        <v>1599.25</v>
      </c>
      <c r="U30" s="345">
        <v>1599.25</v>
      </c>
      <c r="V30" s="345">
        <v>1599.25</v>
      </c>
      <c r="W30" s="345">
        <v>1599.25</v>
      </c>
      <c r="X30" s="345">
        <v>1401.25</v>
      </c>
      <c r="Y30" s="345">
        <f t="shared" si="13"/>
        <v>1401.25</v>
      </c>
      <c r="Z30" s="345"/>
      <c r="AB30" s="345">
        <v>1401.25</v>
      </c>
      <c r="AC30" s="345">
        <v>1401.25</v>
      </c>
      <c r="AD30" s="345">
        <v>1401.25</v>
      </c>
      <c r="AE30" s="345">
        <v>1401.25</v>
      </c>
      <c r="AF30" s="345">
        <v>1401.25</v>
      </c>
      <c r="AG30" s="345"/>
      <c r="AH30" s="345"/>
      <c r="AI30" s="345"/>
    </row>
    <row r="31" spans="2:35" x14ac:dyDescent="0.25">
      <c r="B31" s="50"/>
      <c r="C31" s="80"/>
      <c r="D31" s="80"/>
      <c r="E31" s="80"/>
      <c r="F31" s="80"/>
      <c r="G31" s="80"/>
      <c r="H31" s="80"/>
      <c r="I31" s="80"/>
      <c r="J31" s="345"/>
      <c r="K31" s="345"/>
      <c r="L31" s="345"/>
      <c r="M31" s="345"/>
      <c r="N31" s="345"/>
      <c r="O31" s="345"/>
      <c r="P31" s="345"/>
      <c r="Q31" s="345"/>
      <c r="R31" s="345"/>
      <c r="S31" s="345"/>
      <c r="T31" s="345"/>
      <c r="U31" s="345"/>
      <c r="V31" s="345"/>
      <c r="W31" s="345"/>
      <c r="X31" s="345"/>
      <c r="Y31" s="345"/>
      <c r="Z31" s="345"/>
      <c r="AB31" s="345"/>
      <c r="AC31" s="345"/>
      <c r="AD31" s="345"/>
      <c r="AF31" s="345"/>
    </row>
    <row r="32" spans="2:35" x14ac:dyDescent="0.25">
      <c r="B32" s="50" t="s">
        <v>172</v>
      </c>
      <c r="C32" s="65">
        <v>0</v>
      </c>
      <c r="D32" s="65">
        <v>0</v>
      </c>
      <c r="E32" s="65">
        <v>0</v>
      </c>
      <c r="F32" s="65">
        <v>0</v>
      </c>
      <c r="G32" s="65">
        <v>0</v>
      </c>
      <c r="H32" s="65">
        <v>0</v>
      </c>
      <c r="I32" s="65">
        <v>0</v>
      </c>
      <c r="J32" s="261">
        <f>J33</f>
        <v>2405.5500000000002</v>
      </c>
      <c r="K32" s="261">
        <f t="shared" ref="K32:U32" si="18">K33</f>
        <v>3268.2099999999982</v>
      </c>
      <c r="L32" s="261">
        <f t="shared" si="18"/>
        <v>3735.9830000000002</v>
      </c>
      <c r="M32" s="261">
        <f t="shared" si="18"/>
        <v>3736.203</v>
      </c>
      <c r="N32" s="261">
        <f t="shared" si="18"/>
        <v>3736.203</v>
      </c>
      <c r="O32" s="261">
        <f t="shared" si="18"/>
        <v>3736.203</v>
      </c>
      <c r="P32" s="261">
        <f t="shared" si="18"/>
        <v>3736.203</v>
      </c>
      <c r="Q32" s="261">
        <f t="shared" si="18"/>
        <v>3736.4</v>
      </c>
      <c r="R32" s="261">
        <f t="shared" si="18"/>
        <v>3736.4</v>
      </c>
      <c r="S32" s="261">
        <f t="shared" si="18"/>
        <v>3729.4</v>
      </c>
      <c r="T32" s="261">
        <f t="shared" si="18"/>
        <v>3729.0030000000002</v>
      </c>
      <c r="U32" s="261">
        <f t="shared" si="18"/>
        <v>3729.0030000000002</v>
      </c>
      <c r="V32" s="261">
        <f>V33</f>
        <v>2885.6320000000001</v>
      </c>
      <c r="W32" s="261">
        <f t="shared" ref="W32:X32" si="19">W33</f>
        <v>2885.6320000000001</v>
      </c>
      <c r="X32" s="261">
        <f t="shared" si="19"/>
        <v>2885.6320000000001</v>
      </c>
      <c r="Y32" s="261">
        <f>AE32</f>
        <v>2885.6320000000001</v>
      </c>
      <c r="Z32" s="261"/>
      <c r="AB32" s="261">
        <f t="shared" ref="AB32:AF32" si="20">AB33</f>
        <v>2885.6320000000001</v>
      </c>
      <c r="AC32" s="261">
        <f t="shared" si="20"/>
        <v>2885.6320000000001</v>
      </c>
      <c r="AD32" s="261">
        <f t="shared" si="20"/>
        <v>2885.6320000000001</v>
      </c>
      <c r="AE32" s="261">
        <f t="shared" si="20"/>
        <v>2885.6320000000001</v>
      </c>
      <c r="AF32" s="261">
        <f t="shared" si="20"/>
        <v>2885.6320000000001</v>
      </c>
      <c r="AG32" s="261"/>
      <c r="AH32" s="261"/>
      <c r="AI32" s="261"/>
    </row>
    <row r="33" spans="1:35" x14ac:dyDescent="0.25">
      <c r="B33" s="32" t="s">
        <v>41</v>
      </c>
      <c r="C33" s="6"/>
      <c r="D33" s="6"/>
      <c r="E33" s="6"/>
      <c r="F33" s="6"/>
      <c r="G33" s="6"/>
      <c r="H33" s="6"/>
      <c r="I33" s="6"/>
      <c r="J33" s="261">
        <v>2405.5500000000002</v>
      </c>
      <c r="K33" s="261">
        <v>3268.2099999999982</v>
      </c>
      <c r="L33" s="261">
        <v>3735.9830000000002</v>
      </c>
      <c r="M33" s="261">
        <v>3736.203</v>
      </c>
      <c r="N33" s="261">
        <v>3736.203</v>
      </c>
      <c r="O33" s="261">
        <v>3736.203</v>
      </c>
      <c r="P33" s="261">
        <v>3736.203</v>
      </c>
      <c r="Q33" s="261">
        <v>3736.4</v>
      </c>
      <c r="R33" s="261">
        <v>3736.4</v>
      </c>
      <c r="S33" s="261">
        <v>3729.4</v>
      </c>
      <c r="T33" s="261">
        <v>3729.0030000000002</v>
      </c>
      <c r="U33" s="261">
        <v>3729.0030000000002</v>
      </c>
      <c r="V33" s="261">
        <v>2885.6320000000001</v>
      </c>
      <c r="W33" s="261">
        <v>2885.6320000000001</v>
      </c>
      <c r="X33" s="261">
        <v>2885.6320000000001</v>
      </c>
      <c r="Y33" s="261">
        <f>AE33</f>
        <v>2885.6320000000001</v>
      </c>
      <c r="Z33" s="261"/>
      <c r="AA33" s="251"/>
      <c r="AB33" s="261">
        <v>2885.6320000000001</v>
      </c>
      <c r="AC33" s="261">
        <v>2885.6320000000001</v>
      </c>
      <c r="AD33" s="261">
        <v>2885.6320000000001</v>
      </c>
      <c r="AE33" s="261">
        <v>2885.6320000000001</v>
      </c>
      <c r="AF33" s="261">
        <v>2885.6320000000001</v>
      </c>
      <c r="AG33" s="261"/>
      <c r="AH33" s="261"/>
      <c r="AI33" s="261"/>
    </row>
    <row r="34" spans="1:35" x14ac:dyDescent="0.25">
      <c r="B34" s="50"/>
      <c r="C34" s="80"/>
      <c r="D34" s="80"/>
      <c r="E34" s="80"/>
      <c r="F34" s="80"/>
      <c r="G34" s="80"/>
      <c r="H34" s="80"/>
      <c r="I34" s="80"/>
      <c r="J34" s="345"/>
      <c r="K34" s="345"/>
      <c r="L34" s="345"/>
      <c r="M34" s="345"/>
      <c r="N34" s="345"/>
      <c r="O34" s="345"/>
      <c r="P34" s="345"/>
      <c r="Q34" s="345"/>
      <c r="R34" s="345"/>
      <c r="S34" s="345"/>
      <c r="T34" s="345"/>
      <c r="U34" s="345"/>
      <c r="V34" s="345"/>
      <c r="W34" s="345"/>
      <c r="X34" s="345"/>
      <c r="Y34" s="345"/>
      <c r="Z34" s="345"/>
      <c r="AB34" s="345"/>
      <c r="AC34" s="345"/>
      <c r="AD34" s="345"/>
      <c r="AE34" s="345"/>
      <c r="AF34" s="345"/>
      <c r="AG34" s="345"/>
      <c r="AH34" s="345"/>
      <c r="AI34" s="345"/>
    </row>
    <row r="35" spans="1:35" x14ac:dyDescent="0.25">
      <c r="B35" s="50" t="s">
        <v>164</v>
      </c>
      <c r="C35" s="65">
        <v>0</v>
      </c>
      <c r="D35" s="65">
        <v>0</v>
      </c>
      <c r="E35" s="65">
        <v>0</v>
      </c>
      <c r="F35" s="65">
        <v>0</v>
      </c>
      <c r="G35" s="65">
        <v>0</v>
      </c>
      <c r="H35" s="65">
        <v>0</v>
      </c>
      <c r="I35" s="65">
        <v>0</v>
      </c>
      <c r="J35" s="261">
        <f>J36</f>
        <v>2640.13</v>
      </c>
      <c r="K35" s="261">
        <f>K36</f>
        <v>2640.13</v>
      </c>
      <c r="L35" s="261">
        <f t="shared" ref="L35:S35" si="21">L37+L39</f>
        <v>2640.25</v>
      </c>
      <c r="M35" s="261">
        <f t="shared" si="21"/>
        <v>2640.25</v>
      </c>
      <c r="N35" s="261">
        <f t="shared" si="21"/>
        <v>2820.25</v>
      </c>
      <c r="O35" s="261">
        <f t="shared" si="21"/>
        <v>3003.3870000000002</v>
      </c>
      <c r="P35" s="261">
        <f t="shared" si="21"/>
        <v>2643.25</v>
      </c>
      <c r="Q35" s="261">
        <f t="shared" si="21"/>
        <v>3363</v>
      </c>
      <c r="R35" s="261">
        <f t="shared" si="21"/>
        <v>3124.2739999999999</v>
      </c>
      <c r="S35" s="261">
        <f t="shared" si="21"/>
        <v>3124.2739999999999</v>
      </c>
      <c r="T35" s="261">
        <v>3150.1840000000002</v>
      </c>
      <c r="U35" s="261">
        <v>3150.1990000000001</v>
      </c>
      <c r="V35" s="261">
        <v>1970.1990000000001</v>
      </c>
      <c r="W35" s="261">
        <v>1970.1990000000001</v>
      </c>
      <c r="X35" s="261">
        <v>2540.1990000000001</v>
      </c>
      <c r="Y35" s="261">
        <f>AE35</f>
        <v>916.25</v>
      </c>
      <c r="Z35" s="261"/>
      <c r="AB35" s="261">
        <v>2540.1990000000001</v>
      </c>
      <c r="AC35" s="261">
        <v>2540.1990000000001</v>
      </c>
      <c r="AD35" s="261">
        <v>2540.1990000000001</v>
      </c>
      <c r="AE35" s="261">
        <v>916.25</v>
      </c>
      <c r="AF35" s="261">
        <v>916.25</v>
      </c>
      <c r="AG35" s="261"/>
      <c r="AH35" s="261"/>
      <c r="AI35" s="261"/>
    </row>
    <row r="36" spans="1:35" x14ac:dyDescent="0.25">
      <c r="B36" s="50" t="s">
        <v>41</v>
      </c>
      <c r="C36" s="65"/>
      <c r="D36" s="65"/>
      <c r="E36" s="65"/>
      <c r="F36" s="65"/>
      <c r="G36" s="65"/>
      <c r="H36" s="65"/>
      <c r="I36" s="65"/>
      <c r="J36" s="261">
        <f>J37</f>
        <v>2640.13</v>
      </c>
      <c r="K36" s="261">
        <f t="shared" ref="K36:U36" si="22">K37</f>
        <v>2640.13</v>
      </c>
      <c r="L36" s="261">
        <f t="shared" si="22"/>
        <v>2640.25</v>
      </c>
      <c r="M36" s="261">
        <f t="shared" si="22"/>
        <v>2640.25</v>
      </c>
      <c r="N36" s="261">
        <f t="shared" si="22"/>
        <v>2640.25</v>
      </c>
      <c r="O36" s="261">
        <f t="shared" si="22"/>
        <v>2643.25</v>
      </c>
      <c r="P36" s="261">
        <f t="shared" si="22"/>
        <v>2643.25</v>
      </c>
      <c r="Q36" s="261">
        <f t="shared" si="22"/>
        <v>2643</v>
      </c>
      <c r="R36" s="261">
        <f t="shared" si="22"/>
        <v>2404</v>
      </c>
      <c r="S36" s="261">
        <f t="shared" si="22"/>
        <v>2404</v>
      </c>
      <c r="T36" s="261">
        <f t="shared" si="22"/>
        <v>2429.91</v>
      </c>
      <c r="U36" s="261">
        <f t="shared" si="22"/>
        <v>2429.9250000000002</v>
      </c>
      <c r="V36" s="261">
        <f>V37</f>
        <v>1249.925</v>
      </c>
      <c r="W36" s="261">
        <f t="shared" ref="W36" si="23">W37</f>
        <v>1249.925</v>
      </c>
      <c r="X36" s="261">
        <f>X37</f>
        <v>1819.925</v>
      </c>
      <c r="Y36" s="261">
        <f>AE36</f>
        <v>916.25</v>
      </c>
      <c r="Z36" s="261"/>
      <c r="AA36" s="261"/>
      <c r="AB36" s="261">
        <f>AB37</f>
        <v>1819.925</v>
      </c>
      <c r="AC36" s="261">
        <f>AC37</f>
        <v>1819.925</v>
      </c>
      <c r="AD36" s="261">
        <f>AD37</f>
        <v>1819.925</v>
      </c>
      <c r="AE36" s="261">
        <f>AE37</f>
        <v>916.25</v>
      </c>
      <c r="AF36" s="261">
        <f>AF37</f>
        <v>916.25</v>
      </c>
      <c r="AG36" s="261"/>
      <c r="AH36" s="261"/>
      <c r="AI36" s="261"/>
    </row>
    <row r="37" spans="1:35" s="333" customFormat="1" x14ac:dyDescent="0.25">
      <c r="A37" s="209"/>
      <c r="B37" s="221" t="s">
        <v>38</v>
      </c>
      <c r="C37" s="418">
        <v>0</v>
      </c>
      <c r="D37" s="418">
        <v>0</v>
      </c>
      <c r="E37" s="418">
        <v>0</v>
      </c>
      <c r="F37" s="418">
        <v>0</v>
      </c>
      <c r="G37" s="418">
        <v>0</v>
      </c>
      <c r="H37" s="418">
        <v>0</v>
      </c>
      <c r="I37" s="418">
        <v>0</v>
      </c>
      <c r="J37" s="440">
        <v>2640.13</v>
      </c>
      <c r="K37" s="440">
        <v>2640.13</v>
      </c>
      <c r="L37" s="440">
        <v>2640.25</v>
      </c>
      <c r="M37" s="440">
        <v>2640.25</v>
      </c>
      <c r="N37" s="440">
        <v>2640.25</v>
      </c>
      <c r="O37" s="440">
        <v>2643.25</v>
      </c>
      <c r="P37" s="440">
        <v>2643.25</v>
      </c>
      <c r="Q37" s="440">
        <f>1180+1463</f>
        <v>2643</v>
      </c>
      <c r="R37" s="440">
        <v>2404</v>
      </c>
      <c r="S37" s="440">
        <f>1180+1224</f>
        <v>2404</v>
      </c>
      <c r="T37" s="440">
        <v>2429.91</v>
      </c>
      <c r="U37" s="440">
        <v>2429.9250000000002</v>
      </c>
      <c r="V37" s="440">
        <v>1249.925</v>
      </c>
      <c r="W37" s="440">
        <v>1249.925</v>
      </c>
      <c r="X37" s="440">
        <v>1819.925</v>
      </c>
      <c r="Y37" s="440">
        <f>AE37</f>
        <v>916.25</v>
      </c>
      <c r="Z37" s="440"/>
      <c r="AB37" s="440">
        <v>1819.925</v>
      </c>
      <c r="AC37" s="440">
        <v>1819.925</v>
      </c>
      <c r="AD37" s="440">
        <v>1819.925</v>
      </c>
      <c r="AE37" s="440">
        <v>916.25</v>
      </c>
      <c r="AF37" s="440">
        <v>916.25</v>
      </c>
      <c r="AG37" s="440"/>
      <c r="AH37" s="440"/>
      <c r="AI37" s="440"/>
    </row>
    <row r="38" spans="1:35" x14ac:dyDescent="0.25">
      <c r="B38" s="50" t="s">
        <v>270</v>
      </c>
      <c r="C38" s="65"/>
      <c r="D38" s="65"/>
      <c r="E38" s="65"/>
      <c r="F38" s="65"/>
      <c r="G38" s="65"/>
      <c r="H38" s="65"/>
      <c r="I38" s="65"/>
      <c r="J38" s="261">
        <f t="shared" ref="J38:W38" si="24">J39</f>
        <v>0</v>
      </c>
      <c r="K38" s="261">
        <f t="shared" si="24"/>
        <v>0</v>
      </c>
      <c r="L38" s="261">
        <f t="shared" si="24"/>
        <v>0</v>
      </c>
      <c r="M38" s="261">
        <f t="shared" si="24"/>
        <v>0</v>
      </c>
      <c r="N38" s="261">
        <f t="shared" si="24"/>
        <v>180</v>
      </c>
      <c r="O38" s="261">
        <f t="shared" si="24"/>
        <v>360.137</v>
      </c>
      <c r="P38" s="261">
        <f t="shared" si="24"/>
        <v>0</v>
      </c>
      <c r="Q38" s="261">
        <f t="shared" si="24"/>
        <v>720</v>
      </c>
      <c r="R38" s="261">
        <f t="shared" si="24"/>
        <v>720.274</v>
      </c>
      <c r="S38" s="261">
        <f t="shared" si="24"/>
        <v>720.274</v>
      </c>
      <c r="T38" s="261">
        <f t="shared" si="24"/>
        <v>720.274</v>
      </c>
      <c r="U38" s="261">
        <f t="shared" si="24"/>
        <v>720.274</v>
      </c>
      <c r="V38" s="261">
        <f t="shared" si="24"/>
        <v>720.274</v>
      </c>
      <c r="W38" s="261">
        <f t="shared" si="24"/>
        <v>720.274</v>
      </c>
      <c r="X38" s="261">
        <f>X39</f>
        <v>720.274</v>
      </c>
      <c r="Y38" s="261">
        <f>AE38</f>
        <v>0</v>
      </c>
      <c r="Z38" s="261"/>
      <c r="AA38" s="261"/>
      <c r="AB38" s="261">
        <f>AB39</f>
        <v>720.274</v>
      </c>
      <c r="AC38" s="261">
        <f>AC39</f>
        <v>720.274</v>
      </c>
      <c r="AD38" s="261">
        <f>AD39</f>
        <v>720.274</v>
      </c>
      <c r="AE38" s="261">
        <f>AE39</f>
        <v>0</v>
      </c>
      <c r="AF38" s="261">
        <f>AF39</f>
        <v>0</v>
      </c>
      <c r="AG38" s="261"/>
      <c r="AH38" s="261"/>
      <c r="AI38" s="261"/>
    </row>
    <row r="39" spans="1:35" x14ac:dyDescent="0.25">
      <c r="A39" s="6"/>
      <c r="B39" s="111" t="s">
        <v>39</v>
      </c>
      <c r="C39" s="65">
        <v>0</v>
      </c>
      <c r="D39" s="65">
        <v>0</v>
      </c>
      <c r="E39" s="65">
        <v>0</v>
      </c>
      <c r="F39" s="65">
        <v>0</v>
      </c>
      <c r="G39" s="65">
        <v>0</v>
      </c>
      <c r="H39" s="65">
        <v>0</v>
      </c>
      <c r="I39" s="65">
        <v>0</v>
      </c>
      <c r="J39" s="344">
        <v>0</v>
      </c>
      <c r="K39" s="344">
        <v>0</v>
      </c>
      <c r="L39" s="345">
        <v>0</v>
      </c>
      <c r="M39" s="345">
        <v>0</v>
      </c>
      <c r="N39" s="345">
        <v>180</v>
      </c>
      <c r="O39" s="344">
        <v>360.137</v>
      </c>
      <c r="P39" s="344">
        <v>0</v>
      </c>
      <c r="Q39" s="345">
        <v>720</v>
      </c>
      <c r="R39" s="345">
        <v>720.274</v>
      </c>
      <c r="S39" s="345">
        <v>720.274</v>
      </c>
      <c r="T39" s="345">
        <v>720.274</v>
      </c>
      <c r="U39" s="345">
        <v>720.274</v>
      </c>
      <c r="V39" s="345">
        <v>720.274</v>
      </c>
      <c r="W39" s="345">
        <v>720.274</v>
      </c>
      <c r="X39" s="345">
        <v>720.274</v>
      </c>
      <c r="Y39" s="345">
        <f>AE39</f>
        <v>0</v>
      </c>
      <c r="Z39" s="345"/>
      <c r="AB39" s="345">
        <v>720.274</v>
      </c>
      <c r="AC39" s="345">
        <v>720.274</v>
      </c>
      <c r="AD39" s="345">
        <v>720.274</v>
      </c>
      <c r="AE39" s="345">
        <v>0</v>
      </c>
      <c r="AF39" s="345">
        <v>0</v>
      </c>
      <c r="AG39" s="345"/>
      <c r="AH39" s="345"/>
      <c r="AI39" s="345"/>
    </row>
    <row r="40" spans="1:35" x14ac:dyDescent="0.25">
      <c r="B40" s="111"/>
      <c r="C40" s="80"/>
      <c r="D40" s="80"/>
      <c r="E40" s="80"/>
      <c r="F40" s="80"/>
      <c r="G40" s="80"/>
      <c r="H40" s="80"/>
      <c r="I40" s="80"/>
      <c r="J40" s="345"/>
      <c r="K40" s="345"/>
      <c r="L40" s="345"/>
      <c r="M40" s="345"/>
      <c r="N40" s="345"/>
      <c r="O40" s="345"/>
      <c r="P40" s="345"/>
      <c r="Q40" s="345"/>
      <c r="R40" s="345"/>
      <c r="S40" s="345"/>
      <c r="T40" s="345"/>
      <c r="U40" s="345"/>
      <c r="V40" s="345"/>
      <c r="W40" s="345"/>
      <c r="X40" s="345"/>
      <c r="Y40" s="345"/>
      <c r="Z40" s="345"/>
      <c r="AB40" s="345"/>
      <c r="AC40" s="345"/>
      <c r="AD40" s="345"/>
      <c r="AE40" s="345"/>
      <c r="AF40" s="345"/>
      <c r="AG40" s="345"/>
      <c r="AH40" s="345"/>
      <c r="AI40" s="345"/>
    </row>
    <row r="41" spans="1:35" x14ac:dyDescent="0.25">
      <c r="B41" s="50" t="s">
        <v>173</v>
      </c>
      <c r="C41" s="65">
        <v>0</v>
      </c>
      <c r="D41" s="65">
        <v>0</v>
      </c>
      <c r="E41" s="65">
        <v>0</v>
      </c>
      <c r="F41" s="65">
        <v>0</v>
      </c>
      <c r="G41" s="65">
        <v>0</v>
      </c>
      <c r="H41" s="65">
        <v>0</v>
      </c>
      <c r="I41" s="65">
        <v>0</v>
      </c>
      <c r="J41" s="461">
        <f>J43+J44</f>
        <v>2281.8159999999998</v>
      </c>
      <c r="K41" s="461">
        <f t="shared" ref="K41:N41" si="25">K43+K44</f>
        <v>2328.4175</v>
      </c>
      <c r="L41" s="461">
        <f t="shared" si="25"/>
        <v>2276.9275000000002</v>
      </c>
      <c r="M41" s="461">
        <f t="shared" si="25"/>
        <v>2286.5774999999999</v>
      </c>
      <c r="N41" s="461">
        <f t="shared" si="25"/>
        <v>1576.3775000000001</v>
      </c>
      <c r="O41" s="461">
        <f>O43+O44</f>
        <v>481.95299999999997</v>
      </c>
      <c r="P41" s="461">
        <f>P43+P44</f>
        <v>273.25299999999999</v>
      </c>
      <c r="Q41" s="461">
        <f>205.4-156</f>
        <v>49.400000000000006</v>
      </c>
      <c r="R41" s="461">
        <f>205-156</f>
        <v>49</v>
      </c>
      <c r="S41" s="461">
        <f>205-156</f>
        <v>49</v>
      </c>
      <c r="T41" s="461">
        <v>48.706999999999994</v>
      </c>
      <c r="U41" s="461">
        <v>48.706999999999994</v>
      </c>
      <c r="V41" s="461">
        <v>41.737000000000023</v>
      </c>
      <c r="W41" s="461">
        <v>22.296999999999997</v>
      </c>
      <c r="X41" s="461">
        <v>22.76799999999999</v>
      </c>
      <c r="Y41" s="461">
        <f>AE41</f>
        <v>17.3</v>
      </c>
      <c r="Z41" s="461"/>
      <c r="AB41" s="461">
        <v>17.3</v>
      </c>
      <c r="AC41" s="461">
        <v>17.3</v>
      </c>
      <c r="AD41" s="461">
        <v>17.3</v>
      </c>
      <c r="AE41" s="461">
        <v>17.3</v>
      </c>
      <c r="AF41" s="461">
        <v>17.3</v>
      </c>
      <c r="AG41" s="461"/>
      <c r="AH41" s="461"/>
      <c r="AI41" s="461"/>
    </row>
    <row r="42" spans="1:35" x14ac:dyDescent="0.25">
      <c r="B42" s="50" t="s">
        <v>41</v>
      </c>
      <c r="C42" s="65"/>
      <c r="D42" s="65"/>
      <c r="E42" s="65"/>
      <c r="F42" s="65"/>
      <c r="G42" s="65"/>
      <c r="H42" s="65"/>
      <c r="I42" s="65"/>
      <c r="J42" s="461">
        <f>SUM(J43:J44)</f>
        <v>2281.8159999999998</v>
      </c>
      <c r="K42" s="461">
        <f t="shared" ref="K42:U42" si="26">SUM(K43:K44)</f>
        <v>2328.4175</v>
      </c>
      <c r="L42" s="461">
        <f t="shared" si="26"/>
        <v>2276.9275000000002</v>
      </c>
      <c r="M42" s="461">
        <f t="shared" si="26"/>
        <v>2286.5774999999999</v>
      </c>
      <c r="N42" s="461">
        <f t="shared" si="26"/>
        <v>1576.3775000000001</v>
      </c>
      <c r="O42" s="461">
        <f t="shared" si="26"/>
        <v>481.95299999999997</v>
      </c>
      <c r="P42" s="461">
        <f t="shared" si="26"/>
        <v>273.25299999999999</v>
      </c>
      <c r="Q42" s="461">
        <f t="shared" si="26"/>
        <v>49</v>
      </c>
      <c r="R42" s="461">
        <f t="shared" si="26"/>
        <v>48</v>
      </c>
      <c r="S42" s="461">
        <f t="shared" si="26"/>
        <v>48</v>
      </c>
      <c r="T42" s="461">
        <f>SUM(T43:T44)</f>
        <v>48.269999999999996</v>
      </c>
      <c r="U42" s="461">
        <f t="shared" si="26"/>
        <v>48.269999999999996</v>
      </c>
      <c r="V42" s="461">
        <f>SUM(V43:V44)</f>
        <v>41.3</v>
      </c>
      <c r="W42" s="461">
        <f>W43+W44</f>
        <v>22.768000000000001</v>
      </c>
      <c r="X42" s="461">
        <f t="shared" ref="X42" si="27">X43+X44</f>
        <v>22.76799999999999</v>
      </c>
      <c r="Y42" s="461">
        <f>AE42</f>
        <v>17.3</v>
      </c>
      <c r="Z42" s="461"/>
      <c r="AB42" s="461">
        <f>AB43+AB44</f>
        <v>17.3</v>
      </c>
      <c r="AC42" s="461">
        <f>AC43+AC44</f>
        <v>17.3</v>
      </c>
      <c r="AD42" s="461">
        <f>AD43+AD44</f>
        <v>17.3</v>
      </c>
      <c r="AE42" s="461">
        <f>AE43+AE44</f>
        <v>17.3</v>
      </c>
      <c r="AF42" s="461">
        <f>AF43+AF44</f>
        <v>17.3</v>
      </c>
      <c r="AG42" s="461"/>
      <c r="AH42" s="461"/>
      <c r="AI42" s="461"/>
    </row>
    <row r="43" spans="1:35" x14ac:dyDescent="0.25">
      <c r="B43" s="109" t="s">
        <v>51</v>
      </c>
      <c r="C43" s="65">
        <v>0</v>
      </c>
      <c r="D43" s="65">
        <v>0</v>
      </c>
      <c r="E43" s="65">
        <v>0</v>
      </c>
      <c r="F43" s="65">
        <v>0</v>
      </c>
      <c r="G43" s="65">
        <v>0</v>
      </c>
      <c r="H43" s="65">
        <v>0</v>
      </c>
      <c r="I43" s="65">
        <v>0</v>
      </c>
      <c r="J43" s="440">
        <v>1712.6</v>
      </c>
      <c r="K43" s="440">
        <v>1712.6</v>
      </c>
      <c r="L43" s="440">
        <v>1656.6000000000004</v>
      </c>
      <c r="M43" s="440">
        <v>946.4</v>
      </c>
      <c r="N43" s="440">
        <v>946.4</v>
      </c>
      <c r="O43" s="440">
        <v>232.97</v>
      </c>
      <c r="P43" s="440">
        <v>24.27</v>
      </c>
      <c r="Q43" s="440">
        <f>24</f>
        <v>24</v>
      </c>
      <c r="R43" s="333">
        <v>24</v>
      </c>
      <c r="S43" s="333">
        <v>24</v>
      </c>
      <c r="T43" s="440">
        <v>24.27</v>
      </c>
      <c r="U43" s="440">
        <v>24.27</v>
      </c>
      <c r="V43" s="440">
        <v>17.3</v>
      </c>
      <c r="W43" s="440">
        <v>17.3</v>
      </c>
      <c r="X43" s="440">
        <v>17.3</v>
      </c>
      <c r="Y43" s="440">
        <f>AE43</f>
        <v>17.3</v>
      </c>
      <c r="Z43" s="440"/>
      <c r="AB43" s="440">
        <v>17.3</v>
      </c>
      <c r="AC43" s="440">
        <v>17.3</v>
      </c>
      <c r="AD43" s="440">
        <v>17.3</v>
      </c>
      <c r="AE43" s="440">
        <v>17.3</v>
      </c>
      <c r="AF43" s="440">
        <v>17.3</v>
      </c>
      <c r="AG43" s="440"/>
      <c r="AH43" s="440"/>
      <c r="AI43" s="440"/>
    </row>
    <row r="44" spans="1:35" x14ac:dyDescent="0.25">
      <c r="B44" s="109" t="s">
        <v>50</v>
      </c>
      <c r="C44" s="65">
        <v>0</v>
      </c>
      <c r="D44" s="65">
        <v>0</v>
      </c>
      <c r="E44" s="65">
        <v>0</v>
      </c>
      <c r="F44" s="65">
        <v>0</v>
      </c>
      <c r="G44" s="65">
        <v>0</v>
      </c>
      <c r="H44" s="65">
        <v>0</v>
      </c>
      <c r="I44" s="65">
        <v>0</v>
      </c>
      <c r="J44" s="440">
        <v>569.21600000000001</v>
      </c>
      <c r="K44" s="440">
        <v>615.8175</v>
      </c>
      <c r="L44" s="440">
        <v>620.32749999999999</v>
      </c>
      <c r="M44" s="440">
        <v>1340.1775</v>
      </c>
      <c r="N44" s="440">
        <v>629.97749999999996</v>
      </c>
      <c r="O44" s="440">
        <v>248.983</v>
      </c>
      <c r="P44" s="440">
        <v>248.983</v>
      </c>
      <c r="Q44" s="440">
        <f>25</f>
        <v>25</v>
      </c>
      <c r="R44" s="440">
        <f>24</f>
        <v>24</v>
      </c>
      <c r="S44" s="440">
        <f>24</f>
        <v>24</v>
      </c>
      <c r="T44" s="440">
        <f>24</f>
        <v>24</v>
      </c>
      <c r="U44" s="440">
        <f>24</f>
        <v>24</v>
      </c>
      <c r="V44" s="440">
        <f>24</f>
        <v>24</v>
      </c>
      <c r="W44" s="440">
        <v>5.468</v>
      </c>
      <c r="X44" s="440">
        <v>5.4679999999999893</v>
      </c>
      <c r="Y44" s="440">
        <f>AE44</f>
        <v>0</v>
      </c>
      <c r="Z44" s="440"/>
      <c r="AB44" s="440">
        <v>0</v>
      </c>
      <c r="AC44" s="440">
        <v>0</v>
      </c>
      <c r="AD44" s="440">
        <v>0</v>
      </c>
      <c r="AE44" s="440">
        <v>0</v>
      </c>
      <c r="AF44" s="440">
        <v>0</v>
      </c>
      <c r="AG44" s="440"/>
      <c r="AH44" s="440"/>
      <c r="AI44" s="440"/>
    </row>
    <row r="45" spans="1:35" x14ac:dyDescent="0.25">
      <c r="B45" s="112"/>
      <c r="C45" s="65"/>
      <c r="D45" s="65"/>
      <c r="E45" s="65"/>
      <c r="F45" s="65"/>
      <c r="G45" s="65"/>
      <c r="H45" s="65"/>
      <c r="I45" s="65"/>
      <c r="J45" s="440"/>
      <c r="K45" s="440"/>
      <c r="L45" s="440"/>
      <c r="M45" s="440"/>
      <c r="N45" s="440"/>
      <c r="O45" s="440"/>
      <c r="P45" s="440"/>
      <c r="Q45" s="440"/>
      <c r="R45" s="440"/>
      <c r="S45" s="440"/>
      <c r="T45" s="440"/>
      <c r="U45" s="440"/>
      <c r="V45" s="440"/>
      <c r="W45" s="440"/>
      <c r="X45" s="440"/>
      <c r="Y45" s="440"/>
      <c r="Z45" s="440"/>
      <c r="AA45" s="333"/>
      <c r="AB45" s="440"/>
      <c r="AC45" s="440"/>
      <c r="AD45" s="440"/>
      <c r="AE45" s="440"/>
      <c r="AF45" s="440"/>
      <c r="AG45" s="440"/>
      <c r="AH45" s="440"/>
      <c r="AI45" s="440"/>
    </row>
    <row r="46" spans="1:35" x14ac:dyDescent="0.25">
      <c r="B46" s="109"/>
      <c r="C46" s="80"/>
      <c r="D46" s="80"/>
      <c r="E46" s="80"/>
      <c r="F46" s="80"/>
      <c r="G46" s="80"/>
      <c r="H46" s="80"/>
      <c r="I46" s="80"/>
      <c r="J46" s="440"/>
      <c r="K46" s="440"/>
      <c r="L46" s="440"/>
      <c r="M46" s="440"/>
      <c r="N46" s="440"/>
      <c r="O46" s="440"/>
      <c r="P46" s="440"/>
      <c r="Q46" s="440"/>
      <c r="R46" s="440"/>
      <c r="S46" s="440"/>
      <c r="T46" s="440"/>
      <c r="U46" s="440"/>
      <c r="V46" s="440"/>
      <c r="W46" s="440"/>
      <c r="X46" s="440"/>
      <c r="Y46" s="440"/>
      <c r="Z46" s="440"/>
      <c r="AA46" s="333"/>
      <c r="AB46" s="440"/>
      <c r="AC46" s="440"/>
      <c r="AD46" s="440"/>
      <c r="AE46" s="440"/>
      <c r="AF46" s="440"/>
      <c r="AG46" s="440"/>
      <c r="AH46" s="440"/>
      <c r="AI46" s="440"/>
    </row>
    <row r="47" spans="1:35" x14ac:dyDescent="0.25">
      <c r="B47" s="50"/>
      <c r="C47" s="80"/>
      <c r="D47" s="80"/>
      <c r="E47" s="80"/>
      <c r="F47" s="80"/>
      <c r="G47" s="80"/>
      <c r="H47" s="80"/>
      <c r="I47" s="80"/>
      <c r="J47" s="345"/>
      <c r="K47" s="345"/>
      <c r="L47" s="345"/>
      <c r="M47" s="345"/>
      <c r="N47" s="345"/>
      <c r="O47" s="345"/>
      <c r="P47" s="345"/>
      <c r="Q47" s="345"/>
      <c r="R47" s="345"/>
      <c r="S47" s="345"/>
      <c r="T47" s="345"/>
      <c r="U47" s="345"/>
      <c r="V47" s="345"/>
      <c r="W47" s="345"/>
      <c r="X47" s="345"/>
      <c r="Y47" s="345"/>
      <c r="Z47" s="345"/>
      <c r="AB47" s="345"/>
      <c r="AC47" s="345"/>
      <c r="AD47" s="345"/>
      <c r="AE47" s="345"/>
      <c r="AF47" s="345"/>
      <c r="AG47" s="345"/>
      <c r="AH47" s="345"/>
      <c r="AI47" s="345"/>
    </row>
    <row r="48" spans="1:35" x14ac:dyDescent="0.25">
      <c r="B48" s="110" t="s">
        <v>174</v>
      </c>
      <c r="C48" s="65">
        <v>0</v>
      </c>
      <c r="D48" s="65">
        <v>0</v>
      </c>
      <c r="E48" s="65">
        <v>0</v>
      </c>
      <c r="F48" s="65">
        <v>0</v>
      </c>
      <c r="G48" s="65">
        <v>0</v>
      </c>
      <c r="H48" s="65">
        <v>0</v>
      </c>
      <c r="I48" s="65">
        <v>0</v>
      </c>
      <c r="J48" s="261">
        <f t="shared" ref="J48:P48" si="28">J41+J35+J33+J21+J15+J4</f>
        <v>18588.184000000001</v>
      </c>
      <c r="K48" s="261">
        <f t="shared" si="28"/>
        <v>20623.465499999998</v>
      </c>
      <c r="L48" s="261">
        <f t="shared" si="28"/>
        <v>21989.360499999999</v>
      </c>
      <c r="M48" s="261">
        <f t="shared" si="28"/>
        <v>23211.480499999998</v>
      </c>
      <c r="N48" s="261">
        <f t="shared" si="28"/>
        <v>23378.835500000001</v>
      </c>
      <c r="O48" s="261">
        <f t="shared" si="28"/>
        <v>22905.589</v>
      </c>
      <c r="P48" s="261">
        <f t="shared" si="28"/>
        <v>22469.252</v>
      </c>
      <c r="Q48" s="261">
        <f>Q41+Q33+Q35+Q21+Q15+Q4</f>
        <v>24207.8</v>
      </c>
      <c r="R48" s="261">
        <f>R41+R33+R35+R21+R15+R4</f>
        <v>25065.673999999999</v>
      </c>
      <c r="S48" s="261">
        <f>S41+S33+S35+S21+S15+S4</f>
        <v>26596.673999999999</v>
      </c>
      <c r="T48" s="461">
        <v>27021.319</v>
      </c>
      <c r="U48" s="461">
        <v>26524.808999999997</v>
      </c>
      <c r="V48" s="461">
        <v>23524.193000000003</v>
      </c>
      <c r="W48" s="461">
        <v>24494.809990000002</v>
      </c>
      <c r="X48" s="461">
        <v>26187.176851</v>
      </c>
      <c r="Y48" s="261">
        <f>AE48</f>
        <v>26565.493014</v>
      </c>
      <c r="Z48" s="261"/>
      <c r="AB48" s="461">
        <v>26251.398219000002</v>
      </c>
      <c r="AC48" s="461">
        <v>26693.640657000004</v>
      </c>
      <c r="AD48" s="461">
        <v>26717.946841000001</v>
      </c>
      <c r="AE48" s="461">
        <v>26565.493014</v>
      </c>
      <c r="AF48" s="461">
        <v>26488.988162000001</v>
      </c>
      <c r="AG48" s="461"/>
      <c r="AH48" s="461"/>
      <c r="AI48" s="461"/>
    </row>
    <row r="49" spans="2:35" x14ac:dyDescent="0.25">
      <c r="B49" s="38" t="s">
        <v>175</v>
      </c>
      <c r="C49" s="80"/>
      <c r="D49" s="80"/>
      <c r="E49" s="80"/>
      <c r="F49" s="80"/>
      <c r="G49" s="80"/>
      <c r="H49" s="80"/>
      <c r="I49" s="80"/>
      <c r="J49" s="345"/>
      <c r="K49" s="345"/>
      <c r="L49" s="345"/>
      <c r="M49" s="345"/>
      <c r="N49" s="345"/>
      <c r="O49" s="345"/>
      <c r="P49" s="345"/>
      <c r="Q49" s="345"/>
      <c r="R49" s="345"/>
      <c r="S49" s="345"/>
      <c r="T49" s="345"/>
      <c r="U49" s="345"/>
      <c r="V49" s="345"/>
      <c r="W49" s="345"/>
      <c r="X49" s="345"/>
      <c r="Y49" s="345"/>
      <c r="Z49" s="345"/>
      <c r="AB49" s="345"/>
      <c r="AC49" s="345"/>
      <c r="AD49" s="345"/>
      <c r="AE49" s="345"/>
      <c r="AF49" s="345"/>
      <c r="AG49" s="345"/>
      <c r="AH49" s="345"/>
      <c r="AI49" s="345"/>
    </row>
    <row r="50" spans="2:35" x14ac:dyDescent="0.25">
      <c r="B50" s="112" t="s">
        <v>51</v>
      </c>
      <c r="C50" s="104" t="s">
        <v>17</v>
      </c>
      <c r="D50" s="104" t="s">
        <v>17</v>
      </c>
      <c r="E50" s="104" t="s">
        <v>17</v>
      </c>
      <c r="F50" s="104" t="s">
        <v>17</v>
      </c>
      <c r="G50" s="104" t="s">
        <v>17</v>
      </c>
      <c r="H50" s="104" t="s">
        <v>17</v>
      </c>
      <c r="I50" s="104" t="s">
        <v>17</v>
      </c>
      <c r="J50" s="276" t="s">
        <v>17</v>
      </c>
      <c r="K50" s="276" t="s">
        <v>17</v>
      </c>
      <c r="L50" s="276" t="s">
        <v>17</v>
      </c>
      <c r="M50" s="276" t="s">
        <v>17</v>
      </c>
      <c r="N50" s="276" t="s">
        <v>17</v>
      </c>
      <c r="O50" s="276" t="s">
        <v>17</v>
      </c>
      <c r="P50" s="276" t="s">
        <v>17</v>
      </c>
      <c r="Q50" s="276" t="s">
        <v>17</v>
      </c>
      <c r="R50" s="276" t="s">
        <v>17</v>
      </c>
      <c r="S50" s="276" t="s">
        <v>17</v>
      </c>
      <c r="T50" s="345">
        <v>11311.007</v>
      </c>
      <c r="U50" s="345">
        <v>11159.392</v>
      </c>
      <c r="V50" s="345">
        <v>9533.2819999999992</v>
      </c>
      <c r="W50" s="345">
        <v>8266.9819900000002</v>
      </c>
      <c r="X50" s="345">
        <v>8396.2294990000009</v>
      </c>
      <c r="Y50" s="345">
        <f>AE50</f>
        <v>8711.1926249999997</v>
      </c>
      <c r="Z50" s="345"/>
      <c r="AB50" s="523">
        <v>8407</v>
      </c>
      <c r="AC50" s="345">
        <v>8445.9290360000014</v>
      </c>
      <c r="AD50" s="345">
        <v>8675.529321</v>
      </c>
      <c r="AE50" s="345">
        <v>8711.1926249999997</v>
      </c>
      <c r="AF50" s="345">
        <v>8748.7361190000011</v>
      </c>
      <c r="AG50" s="345"/>
      <c r="AH50" s="345"/>
      <c r="AI50" s="345"/>
    </row>
    <row r="51" spans="2:35" x14ac:dyDescent="0.25">
      <c r="B51" s="113" t="s">
        <v>50</v>
      </c>
      <c r="C51" s="104" t="s">
        <v>17</v>
      </c>
      <c r="D51" s="104" t="s">
        <v>17</v>
      </c>
      <c r="E51" s="104" t="s">
        <v>17</v>
      </c>
      <c r="F51" s="104" t="s">
        <v>17</v>
      </c>
      <c r="G51" s="104" t="s">
        <v>17</v>
      </c>
      <c r="H51" s="104" t="s">
        <v>17</v>
      </c>
      <c r="I51" s="104" t="s">
        <v>17</v>
      </c>
      <c r="J51" s="276" t="s">
        <v>17</v>
      </c>
      <c r="K51" s="276" t="s">
        <v>17</v>
      </c>
      <c r="L51" s="276" t="s">
        <v>17</v>
      </c>
      <c r="M51" s="276" t="s">
        <v>17</v>
      </c>
      <c r="N51" s="276" t="s">
        <v>17</v>
      </c>
      <c r="O51" s="276" t="s">
        <v>17</v>
      </c>
      <c r="P51" s="276" t="s">
        <v>17</v>
      </c>
      <c r="Q51" s="276" t="s">
        <v>17</v>
      </c>
      <c r="R51" s="276" t="s">
        <v>17</v>
      </c>
      <c r="S51" s="276" t="s">
        <v>17</v>
      </c>
      <c r="T51" s="440">
        <v>5709.808</v>
      </c>
      <c r="U51" s="440">
        <v>5372.5029999999997</v>
      </c>
      <c r="V51" s="440">
        <v>4717.2970000000005</v>
      </c>
      <c r="W51" s="440">
        <v>4754.0969999999998</v>
      </c>
      <c r="X51" s="440">
        <v>5197</v>
      </c>
      <c r="Y51" s="440">
        <f>AE51</f>
        <v>4278.2890340000004</v>
      </c>
      <c r="Z51" s="440"/>
      <c r="AA51" s="333"/>
      <c r="AB51" s="440">
        <v>5296.2116120000001</v>
      </c>
      <c r="AC51" s="440">
        <v>5345.8963970000004</v>
      </c>
      <c r="AD51" s="440">
        <v>5093.2267069999998</v>
      </c>
      <c r="AE51" s="440">
        <v>4278.2890340000004</v>
      </c>
      <c r="AF51" s="440">
        <v>4280.1974659999996</v>
      </c>
      <c r="AG51" s="345"/>
      <c r="AH51" s="345"/>
      <c r="AI51" s="345"/>
    </row>
    <row r="52" spans="2:35" x14ac:dyDescent="0.25">
      <c r="B52" s="113" t="s">
        <v>39</v>
      </c>
      <c r="C52" s="104" t="s">
        <v>17</v>
      </c>
      <c r="D52" s="104" t="s">
        <v>17</v>
      </c>
      <c r="E52" s="104" t="s">
        <v>17</v>
      </c>
      <c r="F52" s="104" t="s">
        <v>17</v>
      </c>
      <c r="G52" s="104" t="s">
        <v>17</v>
      </c>
      <c r="H52" s="104" t="s">
        <v>17</v>
      </c>
      <c r="I52" s="104" t="s">
        <v>17</v>
      </c>
      <c r="J52" s="276" t="s">
        <v>17</v>
      </c>
      <c r="K52" s="276" t="s">
        <v>17</v>
      </c>
      <c r="L52" s="276" t="s">
        <v>17</v>
      </c>
      <c r="M52" s="276" t="s">
        <v>17</v>
      </c>
      <c r="N52" s="276" t="s">
        <v>17</v>
      </c>
      <c r="O52" s="276" t="s">
        <v>17</v>
      </c>
      <c r="P52" s="276" t="s">
        <v>17</v>
      </c>
      <c r="Q52" s="276" t="s">
        <v>17</v>
      </c>
      <c r="R52" s="276" t="s">
        <v>17</v>
      </c>
      <c r="S52" s="276" t="s">
        <v>17</v>
      </c>
      <c r="T52" s="345">
        <v>2786.7239999999997</v>
      </c>
      <c r="U52" s="345">
        <v>2786.7239999999997</v>
      </c>
      <c r="V52" s="345">
        <v>2755.2239999999997</v>
      </c>
      <c r="W52" s="345">
        <v>3114.2340000000004</v>
      </c>
      <c r="X52" s="345">
        <v>3292.0584709999998</v>
      </c>
      <c r="Y52" s="345">
        <f>AE52</f>
        <v>2670.0118700000003</v>
      </c>
      <c r="Z52" s="345"/>
      <c r="AB52" s="345">
        <v>3293.9861139999998</v>
      </c>
      <c r="AC52" s="345">
        <v>3298.5853010000001</v>
      </c>
      <c r="AD52" s="345">
        <v>3309.274488</v>
      </c>
      <c r="AE52" s="345">
        <v>2670.0118700000003</v>
      </c>
      <c r="AF52" s="345">
        <v>2735.3624390000004</v>
      </c>
      <c r="AG52" s="345"/>
      <c r="AH52" s="345"/>
      <c r="AI52" s="345"/>
    </row>
    <row r="53" spans="2:35" x14ac:dyDescent="0.25">
      <c r="B53" s="38" t="s">
        <v>53</v>
      </c>
      <c r="C53" s="104" t="s">
        <v>17</v>
      </c>
      <c r="D53" s="104" t="s">
        <v>17</v>
      </c>
      <c r="E53" s="104" t="s">
        <v>17</v>
      </c>
      <c r="F53" s="104" t="s">
        <v>17</v>
      </c>
      <c r="G53" s="104" t="s">
        <v>17</v>
      </c>
      <c r="H53" s="104" t="s">
        <v>17</v>
      </c>
      <c r="I53" s="104" t="s">
        <v>17</v>
      </c>
      <c r="J53" s="276" t="s">
        <v>17</v>
      </c>
      <c r="K53" s="276" t="s">
        <v>17</v>
      </c>
      <c r="L53" s="276" t="s">
        <v>17</v>
      </c>
      <c r="M53" s="276" t="s">
        <v>17</v>
      </c>
      <c r="N53" s="276" t="s">
        <v>17</v>
      </c>
      <c r="O53" s="276" t="s">
        <v>17</v>
      </c>
      <c r="P53" s="276" t="s">
        <v>17</v>
      </c>
      <c r="Q53" s="276" t="s">
        <v>17</v>
      </c>
      <c r="R53" s="276" t="s">
        <v>17</v>
      </c>
      <c r="S53" s="276" t="s">
        <v>17</v>
      </c>
      <c r="T53" s="345">
        <v>5332.4100000000008</v>
      </c>
      <c r="U53" s="345">
        <v>5714.01</v>
      </c>
      <c r="V53" s="345">
        <v>5828.21</v>
      </c>
      <c r="W53" s="345">
        <v>5908.4169999999995</v>
      </c>
      <c r="X53" s="345">
        <v>6024.8769999999995</v>
      </c>
      <c r="Y53" s="345">
        <f>AE53</f>
        <v>6890.5120000000006</v>
      </c>
      <c r="Z53" s="345"/>
      <c r="AB53" s="345">
        <v>6021.9719999999998</v>
      </c>
      <c r="AC53" s="345">
        <v>6079.6120000000001</v>
      </c>
      <c r="AD53" s="345">
        <v>6197.9520000000002</v>
      </c>
      <c r="AE53" s="345">
        <v>6890.5120000000006</v>
      </c>
      <c r="AF53" s="345">
        <v>6964.9120000000003</v>
      </c>
      <c r="AG53" s="345"/>
      <c r="AH53" s="345"/>
      <c r="AI53" s="345"/>
    </row>
    <row r="54" spans="2:35" x14ac:dyDescent="0.25">
      <c r="B54" s="50"/>
      <c r="C54" s="114"/>
      <c r="D54" s="114"/>
      <c r="E54" s="114"/>
      <c r="F54" s="114"/>
      <c r="G54" s="114"/>
      <c r="H54" s="114"/>
      <c r="I54" s="114"/>
      <c r="J54" s="441"/>
      <c r="K54" s="441"/>
      <c r="L54" s="441"/>
      <c r="M54" s="441"/>
      <c r="N54" s="441"/>
      <c r="O54" s="441"/>
      <c r="P54" s="441"/>
      <c r="Q54" s="441"/>
      <c r="R54" s="441"/>
      <c r="S54" s="441"/>
      <c r="T54" s="441"/>
      <c r="U54" s="441"/>
      <c r="V54" s="372"/>
      <c r="AB54" s="261"/>
      <c r="AC54" s="261"/>
      <c r="AD54" s="372"/>
    </row>
    <row r="55" spans="2:35" x14ac:dyDescent="0.25">
      <c r="B55" s="176" t="s">
        <v>176</v>
      </c>
      <c r="C55" s="61">
        <v>2001</v>
      </c>
      <c r="D55" s="61">
        <v>2002</v>
      </c>
      <c r="E55" s="61">
        <v>2003</v>
      </c>
      <c r="F55" s="61">
        <v>2004</v>
      </c>
      <c r="G55" s="61">
        <v>2005</v>
      </c>
      <c r="H55" s="61">
        <v>2006</v>
      </c>
      <c r="I55" s="61">
        <v>2007</v>
      </c>
      <c r="J55" s="228">
        <v>2008</v>
      </c>
      <c r="K55" s="228">
        <v>2009</v>
      </c>
      <c r="L55" s="228">
        <v>2010</v>
      </c>
      <c r="M55" s="228">
        <v>2011</v>
      </c>
      <c r="N55" s="228">
        <v>2012</v>
      </c>
      <c r="O55" s="228">
        <v>2013</v>
      </c>
      <c r="P55" s="228">
        <v>2014</v>
      </c>
      <c r="Q55" s="228">
        <v>2015</v>
      </c>
      <c r="R55" s="228">
        <v>2016</v>
      </c>
      <c r="S55" s="228">
        <v>2017</v>
      </c>
      <c r="T55" s="228">
        <v>2018</v>
      </c>
      <c r="U55" s="228">
        <v>2019</v>
      </c>
      <c r="V55" s="228">
        <v>2020</v>
      </c>
      <c r="W55" s="228">
        <v>2021</v>
      </c>
      <c r="X55" s="228">
        <v>2022</v>
      </c>
      <c r="Y55" s="229">
        <v>2023</v>
      </c>
      <c r="Z55" s="230">
        <v>2024</v>
      </c>
      <c r="AB55" s="231" t="s">
        <v>291</v>
      </c>
      <c r="AC55" s="231" t="s">
        <v>292</v>
      </c>
      <c r="AD55" s="231" t="s">
        <v>293</v>
      </c>
      <c r="AE55" s="231">
        <v>2023</v>
      </c>
      <c r="AF55" s="232" t="s">
        <v>318</v>
      </c>
      <c r="AG55" s="232" t="s">
        <v>319</v>
      </c>
      <c r="AH55" s="232" t="s">
        <v>320</v>
      </c>
      <c r="AI55" s="232">
        <v>2024</v>
      </c>
    </row>
    <row r="56" spans="2:35" x14ac:dyDescent="0.25">
      <c r="B56" s="34" t="s">
        <v>46</v>
      </c>
      <c r="C56" s="65">
        <v>0</v>
      </c>
      <c r="D56" s="65">
        <v>0</v>
      </c>
      <c r="E56" s="65">
        <v>0</v>
      </c>
      <c r="F56" s="65">
        <v>0</v>
      </c>
      <c r="G56" s="65">
        <v>0</v>
      </c>
      <c r="H56" s="65">
        <v>0</v>
      </c>
      <c r="I56" s="65">
        <v>0</v>
      </c>
      <c r="J56" s="261">
        <f>J57+J61+J64</f>
        <v>7806.7170096955651</v>
      </c>
      <c r="K56" s="261">
        <f t="shared" ref="K56:P56" si="29">K57+K61+K64</f>
        <v>10907.089172066126</v>
      </c>
      <c r="L56" s="261">
        <f t="shared" si="29"/>
        <v>14351.895928778911</v>
      </c>
      <c r="M56" s="261">
        <f t="shared" si="29"/>
        <v>16800.47927777523</v>
      </c>
      <c r="N56" s="261">
        <f t="shared" si="29"/>
        <v>18444.757229315044</v>
      </c>
      <c r="O56" s="261">
        <f t="shared" si="29"/>
        <v>19142.107623175612</v>
      </c>
      <c r="P56" s="261">
        <f t="shared" si="29"/>
        <v>19695.463847499999</v>
      </c>
      <c r="Q56" s="261">
        <v>21237</v>
      </c>
      <c r="R56" s="261">
        <v>24334</v>
      </c>
      <c r="S56" s="261">
        <v>27446</v>
      </c>
      <c r="T56" s="261">
        <v>28132.914448639793</v>
      </c>
      <c r="U56" s="261">
        <v>29767.625823840161</v>
      </c>
      <c r="V56" s="261">
        <v>28272.154582654999</v>
      </c>
      <c r="W56" s="261">
        <v>29591.752673066996</v>
      </c>
      <c r="X56" s="261">
        <v>31771.818323362</v>
      </c>
      <c r="Y56" s="261">
        <f t="shared" ref="Y56:Y65" si="30">AE56</f>
        <v>31669.254809956001</v>
      </c>
      <c r="Z56" s="261"/>
      <c r="AB56" s="261">
        <v>9630.0375386769992</v>
      </c>
      <c r="AC56" s="261">
        <v>16632.807636141999</v>
      </c>
      <c r="AD56" s="261">
        <v>22957.000888041995</v>
      </c>
      <c r="AE56" s="261">
        <v>31669.254809956001</v>
      </c>
      <c r="AF56" s="261">
        <v>9055.9501851000005</v>
      </c>
      <c r="AG56" s="261"/>
      <c r="AH56" s="261"/>
      <c r="AI56" s="261"/>
    </row>
    <row r="57" spans="2:35" x14ac:dyDescent="0.25">
      <c r="B57" s="34" t="s">
        <v>41</v>
      </c>
      <c r="C57" s="65"/>
      <c r="D57" s="65"/>
      <c r="E57" s="65"/>
      <c r="F57" s="65"/>
      <c r="G57" s="65"/>
      <c r="H57" s="65"/>
      <c r="I57" s="65"/>
      <c r="J57" s="261">
        <f>SUM(J58:J60)</f>
        <v>3900.037644</v>
      </c>
      <c r="K57" s="261">
        <f t="shared" ref="K57:U57" si="31">SUM(K58:K60)</f>
        <v>4975.3514381613422</v>
      </c>
      <c r="L57" s="261">
        <f t="shared" si="31"/>
        <v>6631.6307071870324</v>
      </c>
      <c r="M57" s="261">
        <f t="shared" si="31"/>
        <v>7300.5154852416081</v>
      </c>
      <c r="N57" s="261">
        <f t="shared" si="31"/>
        <v>8276.7538032511056</v>
      </c>
      <c r="O57" s="261">
        <f t="shared" si="31"/>
        <v>9142.9607783136598</v>
      </c>
      <c r="P57" s="261">
        <f t="shared" si="31"/>
        <v>9261.9451432999995</v>
      </c>
      <c r="Q57" s="261">
        <f t="shared" si="31"/>
        <v>9989</v>
      </c>
      <c r="R57" s="261">
        <f t="shared" si="31"/>
        <v>11159</v>
      </c>
      <c r="S57" s="261">
        <f t="shared" si="31"/>
        <v>11591</v>
      </c>
      <c r="T57" s="261">
        <f t="shared" si="31"/>
        <v>11405.74319251602</v>
      </c>
      <c r="U57" s="261">
        <f t="shared" si="31"/>
        <v>11713.27946002743</v>
      </c>
      <c r="V57" s="261">
        <f>SUM(V58:V60)</f>
        <v>9948.9512834630004</v>
      </c>
      <c r="W57" s="261">
        <f t="shared" ref="W57:X57" si="32">SUM(W58:W60)</f>
        <v>11281.422858117001</v>
      </c>
      <c r="X57" s="261">
        <f t="shared" si="32"/>
        <v>11699.504380683</v>
      </c>
      <c r="Y57" s="261">
        <f t="shared" si="30"/>
        <v>11395.023415718999</v>
      </c>
      <c r="Z57" s="261"/>
      <c r="AA57" s="253"/>
      <c r="AB57" s="261">
        <f t="shared" ref="AB57" si="33">SUM(AB58:AB60)</f>
        <v>3444.4867343390001</v>
      </c>
      <c r="AC57" s="261">
        <f t="shared" ref="AC57:AD57" si="34">SUM(AC58:AC60)</f>
        <v>5814.6683569369998</v>
      </c>
      <c r="AD57" s="261">
        <f t="shared" si="34"/>
        <v>8072.8677548629985</v>
      </c>
      <c r="AE57" s="261">
        <f t="shared" ref="AE57:AF57" si="35">SUM(AE58:AE60)</f>
        <v>11395.023415718999</v>
      </c>
      <c r="AF57" s="261">
        <f t="shared" si="35"/>
        <v>3475.3205199999998</v>
      </c>
      <c r="AG57" s="261"/>
      <c r="AH57" s="261"/>
      <c r="AI57" s="261"/>
    </row>
    <row r="58" spans="2:35" x14ac:dyDescent="0.25">
      <c r="B58" s="108" t="s">
        <v>51</v>
      </c>
      <c r="C58" s="80">
        <v>0</v>
      </c>
      <c r="D58" s="80">
        <v>0</v>
      </c>
      <c r="E58" s="80">
        <v>0</v>
      </c>
      <c r="F58" s="80">
        <v>0</v>
      </c>
      <c r="G58" s="80">
        <v>0</v>
      </c>
      <c r="H58" s="80">
        <v>0</v>
      </c>
      <c r="I58" s="80">
        <v>0</v>
      </c>
      <c r="J58" s="344" t="s">
        <v>17</v>
      </c>
      <c r="K58" s="344" t="s">
        <v>17</v>
      </c>
      <c r="L58" s="344" t="s">
        <v>17</v>
      </c>
      <c r="M58" s="344" t="s">
        <v>17</v>
      </c>
      <c r="N58" s="344" t="s">
        <v>17</v>
      </c>
      <c r="O58" s="344">
        <v>0</v>
      </c>
      <c r="P58" s="344">
        <v>0</v>
      </c>
      <c r="Q58" s="345">
        <f>6834-Q59</f>
        <v>1987</v>
      </c>
      <c r="R58" s="345">
        <v>3044</v>
      </c>
      <c r="S58" s="345">
        <v>2904</v>
      </c>
      <c r="T58" s="345">
        <v>2987.2551640004999</v>
      </c>
      <c r="U58" s="345">
        <v>3151.2621479949999</v>
      </c>
      <c r="V58" s="345">
        <v>2616.0694590749995</v>
      </c>
      <c r="W58" s="345">
        <v>3040.7349803830002</v>
      </c>
      <c r="X58" s="345">
        <v>2707.1357340000004</v>
      </c>
      <c r="Y58" s="345">
        <f t="shared" si="30"/>
        <v>2649.139906719</v>
      </c>
      <c r="Z58" s="345"/>
      <c r="AB58" s="345">
        <v>725.96697900000004</v>
      </c>
      <c r="AC58" s="345">
        <v>1294.3575047500001</v>
      </c>
      <c r="AD58" s="345">
        <v>1902.3139097099997</v>
      </c>
      <c r="AE58" s="345">
        <v>2649.139906719</v>
      </c>
      <c r="AF58" s="345">
        <v>861.60825</v>
      </c>
      <c r="AG58" s="464"/>
      <c r="AH58" s="464"/>
      <c r="AI58" s="464"/>
    </row>
    <row r="59" spans="2:35" x14ac:dyDescent="0.25">
      <c r="B59" s="108" t="s">
        <v>50</v>
      </c>
      <c r="C59" s="80">
        <v>0</v>
      </c>
      <c r="D59" s="80">
        <v>0</v>
      </c>
      <c r="E59" s="80">
        <v>0</v>
      </c>
      <c r="F59" s="80">
        <v>0</v>
      </c>
      <c r="G59" s="80">
        <v>0</v>
      </c>
      <c r="H59" s="80">
        <v>0</v>
      </c>
      <c r="I59" s="80">
        <v>0</v>
      </c>
      <c r="J59" s="344" t="s">
        <v>17</v>
      </c>
      <c r="K59" s="344" t="s">
        <v>17</v>
      </c>
      <c r="L59" s="344" t="s">
        <v>17</v>
      </c>
      <c r="M59" s="344" t="s">
        <v>17</v>
      </c>
      <c r="N59" s="344" t="s">
        <v>17</v>
      </c>
      <c r="O59" s="344">
        <v>0</v>
      </c>
      <c r="P59" s="344">
        <v>0</v>
      </c>
      <c r="Q59" s="345">
        <v>4847</v>
      </c>
      <c r="R59" s="345">
        <v>4926</v>
      </c>
      <c r="S59" s="345">
        <v>5095</v>
      </c>
      <c r="T59" s="345">
        <v>5163.8817598968499</v>
      </c>
      <c r="U59" s="345">
        <v>5298.3028679999998</v>
      </c>
      <c r="V59" s="345">
        <v>4346.1518260000003</v>
      </c>
      <c r="W59" s="345">
        <v>4979.0394788590002</v>
      </c>
      <c r="X59" s="345">
        <v>4885.1244195829995</v>
      </c>
      <c r="Y59" s="345">
        <f t="shared" si="30"/>
        <v>4473.1160895709991</v>
      </c>
      <c r="Z59" s="345"/>
      <c r="AB59" s="345">
        <v>1370.8565235830001</v>
      </c>
      <c r="AC59" s="345">
        <v>2344.721383095</v>
      </c>
      <c r="AD59" s="345">
        <v>3180.9851658129996</v>
      </c>
      <c r="AE59" s="345">
        <v>4473.1160895709991</v>
      </c>
      <c r="AF59" s="345">
        <v>1320.3307399999999</v>
      </c>
      <c r="AG59" s="464"/>
      <c r="AH59" s="464"/>
      <c r="AI59" s="464"/>
    </row>
    <row r="60" spans="2:35" x14ac:dyDescent="0.25">
      <c r="B60" s="108" t="s">
        <v>169</v>
      </c>
      <c r="C60" s="80">
        <v>0</v>
      </c>
      <c r="D60" s="80">
        <v>0</v>
      </c>
      <c r="E60" s="80">
        <v>0</v>
      </c>
      <c r="F60" s="80">
        <v>0</v>
      </c>
      <c r="G60" s="80">
        <v>0</v>
      </c>
      <c r="H60" s="80">
        <v>0</v>
      </c>
      <c r="I60" s="80">
        <v>0</v>
      </c>
      <c r="J60" s="345">
        <v>3900.037644</v>
      </c>
      <c r="K60" s="345">
        <v>4975.3514381613422</v>
      </c>
      <c r="L60" s="345">
        <v>6631.6307071870324</v>
      </c>
      <c r="M60" s="345">
        <v>7300.5154852416081</v>
      </c>
      <c r="N60" s="345">
        <v>8276.7538032511056</v>
      </c>
      <c r="O60" s="345">
        <v>9142.9607783136598</v>
      </c>
      <c r="P60" s="345">
        <v>9261.9451432999995</v>
      </c>
      <c r="Q60" s="345">
        <v>3155</v>
      </c>
      <c r="R60" s="345">
        <v>3189</v>
      </c>
      <c r="S60" s="345">
        <v>3592</v>
      </c>
      <c r="T60" s="345">
        <v>3254.6062686186701</v>
      </c>
      <c r="U60" s="345">
        <v>3263.71444403243</v>
      </c>
      <c r="V60" s="345">
        <v>2986.7299983880002</v>
      </c>
      <c r="W60" s="345">
        <v>3261.6483988750001</v>
      </c>
      <c r="X60" s="345">
        <v>4107.2442271</v>
      </c>
      <c r="Y60" s="345">
        <f t="shared" si="30"/>
        <v>4272.7674194290003</v>
      </c>
      <c r="Z60" s="345"/>
      <c r="AB60" s="345">
        <v>1347.6632317560002</v>
      </c>
      <c r="AC60" s="345">
        <v>2175.5894690919999</v>
      </c>
      <c r="AD60" s="345">
        <v>2989.5686793399996</v>
      </c>
      <c r="AE60" s="345">
        <v>4272.7674194290003</v>
      </c>
      <c r="AF60" s="345">
        <v>1293.3815300000001</v>
      </c>
      <c r="AG60" s="464"/>
      <c r="AH60" s="464"/>
      <c r="AI60" s="464"/>
    </row>
    <row r="61" spans="2:35" x14ac:dyDescent="0.25">
      <c r="B61" s="34" t="s">
        <v>3</v>
      </c>
      <c r="C61" s="65"/>
      <c r="D61" s="65"/>
      <c r="E61" s="65"/>
      <c r="F61" s="65"/>
      <c r="G61" s="65"/>
      <c r="H61" s="65"/>
      <c r="I61" s="65"/>
      <c r="J61" s="261">
        <f>J62+J63</f>
        <v>3906.6793656955651</v>
      </c>
      <c r="K61" s="261">
        <f t="shared" ref="K61:U61" si="36">K62+K63</f>
        <v>5905.4905559047838</v>
      </c>
      <c r="L61" s="261">
        <f t="shared" si="36"/>
        <v>7689.4817925918805</v>
      </c>
      <c r="M61" s="261">
        <f t="shared" si="36"/>
        <v>9330.3320686166226</v>
      </c>
      <c r="N61" s="261">
        <f t="shared" si="36"/>
        <v>9936.7398379409387</v>
      </c>
      <c r="O61" s="261">
        <f t="shared" si="36"/>
        <v>9769.3501915000015</v>
      </c>
      <c r="P61" s="261">
        <f t="shared" si="36"/>
        <v>10197.5849363</v>
      </c>
      <c r="Q61" s="261">
        <f t="shared" si="36"/>
        <v>11025</v>
      </c>
      <c r="R61" s="261">
        <f t="shared" si="36"/>
        <v>12509</v>
      </c>
      <c r="S61" s="261">
        <f t="shared" si="36"/>
        <v>14994</v>
      </c>
      <c r="T61" s="261">
        <f t="shared" si="36"/>
        <v>15492.18640608535</v>
      </c>
      <c r="U61" s="261">
        <f t="shared" si="36"/>
        <v>16297.0427621405</v>
      </c>
      <c r="V61" s="261">
        <f>V62+V63</f>
        <v>17230.592968547</v>
      </c>
      <c r="W61" s="261">
        <f t="shared" ref="W61:X61" si="37">W62+W63</f>
        <v>16467.803851113997</v>
      </c>
      <c r="X61" s="261">
        <f t="shared" si="37"/>
        <v>17883.197043460998</v>
      </c>
      <c r="Y61" s="261">
        <f t="shared" si="30"/>
        <v>16244.941121595</v>
      </c>
      <c r="Z61" s="261"/>
      <c r="AA61" s="261"/>
      <c r="AB61" s="261">
        <f t="shared" ref="AB61" si="38">AB62+AB63</f>
        <v>4965.2387164389993</v>
      </c>
      <c r="AC61" s="261">
        <f t="shared" ref="AC61:AD61" si="39">AC62+AC63</f>
        <v>8816.650538898999</v>
      </c>
      <c r="AD61" s="261">
        <f t="shared" si="39"/>
        <v>11850.337261086999</v>
      </c>
      <c r="AE61" s="261">
        <f t="shared" ref="AE61:AF61" si="40">AE62+AE63</f>
        <v>16244.941121595</v>
      </c>
      <c r="AF61" s="261">
        <f t="shared" si="40"/>
        <v>5131.4232951000004</v>
      </c>
      <c r="AG61" s="261"/>
      <c r="AH61" s="261"/>
      <c r="AI61" s="261"/>
    </row>
    <row r="62" spans="2:35" x14ac:dyDescent="0.25">
      <c r="B62" s="108" t="s">
        <v>53</v>
      </c>
      <c r="C62" s="80">
        <v>0</v>
      </c>
      <c r="D62" s="80">
        <v>0</v>
      </c>
      <c r="E62" s="80">
        <v>0</v>
      </c>
      <c r="F62" s="80">
        <v>0</v>
      </c>
      <c r="G62" s="80">
        <v>0</v>
      </c>
      <c r="H62" s="80">
        <v>0</v>
      </c>
      <c r="I62" s="80">
        <v>0</v>
      </c>
      <c r="J62" s="345">
        <v>3906.6793656955651</v>
      </c>
      <c r="K62" s="345">
        <v>5905.4905559047838</v>
      </c>
      <c r="L62" s="345">
        <v>7689.4817925918805</v>
      </c>
      <c r="M62" s="345">
        <v>9330.3320686166226</v>
      </c>
      <c r="N62" s="345">
        <v>9936.7398379409387</v>
      </c>
      <c r="O62" s="345">
        <v>9769.3501915000015</v>
      </c>
      <c r="P62" s="345">
        <v>10197.5849363</v>
      </c>
      <c r="Q62" s="345">
        <v>11025</v>
      </c>
      <c r="R62" s="345">
        <v>12443</v>
      </c>
      <c r="S62" s="345">
        <v>14332</v>
      </c>
      <c r="T62" s="345">
        <v>14721.1707615222</v>
      </c>
      <c r="U62" s="345">
        <v>15500.943040608599</v>
      </c>
      <c r="V62" s="345">
        <v>16442.827853071001</v>
      </c>
      <c r="W62" s="345">
        <v>15535.659450685998</v>
      </c>
      <c r="X62" s="345">
        <v>16700.904733269999</v>
      </c>
      <c r="Y62" s="345">
        <f t="shared" si="30"/>
        <v>14892.141966290001</v>
      </c>
      <c r="Z62" s="345"/>
      <c r="AB62" s="345">
        <v>4665.7347580549995</v>
      </c>
      <c r="AC62" s="345">
        <v>8187.7218086089997</v>
      </c>
      <c r="AD62" s="345">
        <v>10902.811853748999</v>
      </c>
      <c r="AE62" s="345">
        <v>14892.141966290001</v>
      </c>
      <c r="AF62" s="345">
        <v>4562.367193</v>
      </c>
      <c r="AG62" s="464"/>
      <c r="AH62" s="464"/>
      <c r="AI62" s="464"/>
    </row>
    <row r="63" spans="2:35" x14ac:dyDescent="0.25">
      <c r="B63" s="108" t="s">
        <v>177</v>
      </c>
      <c r="C63" s="115"/>
      <c r="D63" s="115"/>
      <c r="E63" s="115"/>
      <c r="F63" s="115"/>
      <c r="G63" s="115"/>
      <c r="H63" s="115"/>
      <c r="I63" s="115"/>
      <c r="J63" s="344">
        <v>0</v>
      </c>
      <c r="K63" s="344">
        <v>0</v>
      </c>
      <c r="L63" s="344">
        <v>0</v>
      </c>
      <c r="M63" s="344">
        <v>0</v>
      </c>
      <c r="N63" s="344">
        <v>0</v>
      </c>
      <c r="O63" s="344">
        <v>0</v>
      </c>
      <c r="P63" s="344">
        <v>0</v>
      </c>
      <c r="Q63" s="344">
        <v>0</v>
      </c>
      <c r="R63" s="345">
        <f>R56-(R57+R62+R64)</f>
        <v>66</v>
      </c>
      <c r="S63" s="345">
        <f>S56-(S57+S62+S64)</f>
        <v>662</v>
      </c>
      <c r="T63" s="345">
        <v>771.01564456314998</v>
      </c>
      <c r="U63" s="345">
        <v>796.09972153190006</v>
      </c>
      <c r="V63" s="345">
        <v>787.76511547600012</v>
      </c>
      <c r="W63" s="345">
        <v>932.14440042799993</v>
      </c>
      <c r="X63" s="345">
        <v>1182.2923101910001</v>
      </c>
      <c r="Y63" s="345">
        <f t="shared" si="30"/>
        <v>1352.7991553049999</v>
      </c>
      <c r="Z63" s="345"/>
      <c r="AB63" s="345">
        <v>299.50395838400004</v>
      </c>
      <c r="AC63" s="345">
        <v>628.92873029000009</v>
      </c>
      <c r="AD63" s="345">
        <v>947.52540733799992</v>
      </c>
      <c r="AE63" s="345">
        <v>1352.7991553049999</v>
      </c>
      <c r="AF63" s="345">
        <v>569.05610209999998</v>
      </c>
      <c r="AG63" s="464"/>
      <c r="AH63" s="464"/>
      <c r="AI63" s="464"/>
    </row>
    <row r="64" spans="2:35" x14ac:dyDescent="0.25">
      <c r="B64" s="34" t="s">
        <v>270</v>
      </c>
      <c r="C64" s="65"/>
      <c r="D64" s="65"/>
      <c r="E64" s="65"/>
      <c r="F64" s="65"/>
      <c r="G64" s="65"/>
      <c r="H64" s="65"/>
      <c r="I64" s="65"/>
      <c r="J64" s="261">
        <f>J65</f>
        <v>0</v>
      </c>
      <c r="K64" s="261">
        <f t="shared" ref="K64:U64" si="41">K65</f>
        <v>26.247177999999998</v>
      </c>
      <c r="L64" s="261">
        <f t="shared" si="41"/>
        <v>30.783429000000005</v>
      </c>
      <c r="M64" s="261">
        <f t="shared" si="41"/>
        <v>169.63172391699999</v>
      </c>
      <c r="N64" s="261">
        <f t="shared" si="41"/>
        <v>231.26358812300003</v>
      </c>
      <c r="O64" s="261">
        <f t="shared" si="41"/>
        <v>229.79665336195004</v>
      </c>
      <c r="P64" s="261">
        <f t="shared" si="41"/>
        <v>235.93376789999999</v>
      </c>
      <c r="Q64" s="261">
        <f t="shared" si="41"/>
        <v>222</v>
      </c>
      <c r="R64" s="261">
        <f t="shared" si="41"/>
        <v>666</v>
      </c>
      <c r="S64" s="261">
        <f t="shared" si="41"/>
        <v>861</v>
      </c>
      <c r="T64" s="261">
        <f t="shared" si="41"/>
        <v>1234.9848500384198</v>
      </c>
      <c r="U64" s="261">
        <f t="shared" si="41"/>
        <v>1757.3036016722301</v>
      </c>
      <c r="V64" s="261">
        <f>V65</f>
        <v>1092.610330645</v>
      </c>
      <c r="W64" s="261">
        <f t="shared" ref="W64:X64" si="42">W65</f>
        <v>1842.5259638360001</v>
      </c>
      <c r="X64" s="261">
        <f t="shared" si="42"/>
        <v>2189.1168992180001</v>
      </c>
      <c r="Y64" s="261">
        <f t="shared" si="30"/>
        <v>4029.2902726420002</v>
      </c>
      <c r="Z64" s="261"/>
      <c r="AA64" s="253"/>
      <c r="AB64" s="261">
        <f t="shared" ref="AB64:AF64" si="43">AB65</f>
        <v>1220.3120878989998</v>
      </c>
      <c r="AC64" s="261">
        <f t="shared" si="43"/>
        <v>2001.4887403059997</v>
      </c>
      <c r="AD64" s="261">
        <f t="shared" si="43"/>
        <v>3033.7958720919996</v>
      </c>
      <c r="AE64" s="261">
        <f t="shared" si="43"/>
        <v>4029.2902726420002</v>
      </c>
      <c r="AF64" s="261">
        <f t="shared" si="43"/>
        <v>449.20636999999999</v>
      </c>
      <c r="AG64" s="261"/>
      <c r="AH64" s="261"/>
      <c r="AI64" s="261"/>
    </row>
    <row r="65" spans="2:37" x14ac:dyDescent="0.25">
      <c r="B65" s="109" t="s">
        <v>39</v>
      </c>
      <c r="C65" s="80">
        <v>0</v>
      </c>
      <c r="D65" s="80">
        <v>0</v>
      </c>
      <c r="E65" s="80">
        <v>0</v>
      </c>
      <c r="F65" s="80">
        <v>0</v>
      </c>
      <c r="G65" s="80">
        <v>0</v>
      </c>
      <c r="H65" s="80">
        <v>0</v>
      </c>
      <c r="I65" s="80">
        <v>0</v>
      </c>
      <c r="J65" s="345">
        <v>0</v>
      </c>
      <c r="K65" s="345">
        <v>26.247177999999998</v>
      </c>
      <c r="L65" s="345">
        <v>30.783429000000005</v>
      </c>
      <c r="M65" s="345">
        <v>169.63172391699999</v>
      </c>
      <c r="N65" s="345">
        <v>231.26358812300003</v>
      </c>
      <c r="O65" s="345">
        <v>229.79665336195004</v>
      </c>
      <c r="P65" s="345">
        <v>235.93376789999999</v>
      </c>
      <c r="Q65" s="345">
        <v>222</v>
      </c>
      <c r="R65" s="345">
        <v>666</v>
      </c>
      <c r="S65" s="345">
        <v>861</v>
      </c>
      <c r="T65" s="345">
        <v>1234.9848500384198</v>
      </c>
      <c r="U65" s="345">
        <v>1757.3036016722301</v>
      </c>
      <c r="V65" s="345">
        <v>1092.610330645</v>
      </c>
      <c r="W65" s="345">
        <v>1842.5259638360001</v>
      </c>
      <c r="X65" s="345">
        <v>2189.1168992180001</v>
      </c>
      <c r="Y65" s="345">
        <f t="shared" si="30"/>
        <v>4029.2902726420002</v>
      </c>
      <c r="Z65" s="345"/>
      <c r="AB65" s="345">
        <v>1220.3120878989998</v>
      </c>
      <c r="AC65" s="345">
        <v>2001.4887403059997</v>
      </c>
      <c r="AD65" s="345">
        <v>3033.7958720919996</v>
      </c>
      <c r="AE65" s="345">
        <v>4029.2902726420002</v>
      </c>
      <c r="AF65" s="345">
        <v>449.20636999999999</v>
      </c>
      <c r="AG65" s="464"/>
      <c r="AH65" s="464"/>
      <c r="AI65" s="464"/>
    </row>
    <row r="66" spans="2:37" x14ac:dyDescent="0.25">
      <c r="O66" s="237"/>
      <c r="P66" s="237"/>
      <c r="Q66" s="237"/>
      <c r="R66" s="237"/>
      <c r="S66" s="253"/>
      <c r="T66" s="253"/>
      <c r="U66" s="253"/>
      <c r="W66" s="253"/>
      <c r="X66" s="253"/>
      <c r="Y66" s="253"/>
      <c r="Z66" s="253"/>
      <c r="AA66" s="253"/>
    </row>
    <row r="67" spans="2:37" x14ac:dyDescent="0.25">
      <c r="B67" s="50" t="s">
        <v>47</v>
      </c>
      <c r="C67" s="141">
        <v>0</v>
      </c>
      <c r="D67" s="141">
        <v>0</v>
      </c>
      <c r="E67" s="141">
        <v>0</v>
      </c>
      <c r="F67" s="141">
        <v>0</v>
      </c>
      <c r="G67" s="141">
        <v>0</v>
      </c>
      <c r="H67" s="141">
        <v>0</v>
      </c>
      <c r="I67" s="141">
        <v>0</v>
      </c>
      <c r="J67" s="439">
        <v>0</v>
      </c>
      <c r="K67" s="439">
        <v>0</v>
      </c>
      <c r="L67" s="439">
        <v>0</v>
      </c>
      <c r="M67" s="439">
        <v>0</v>
      </c>
      <c r="N67" s="439">
        <v>0</v>
      </c>
      <c r="O67" s="261">
        <v>44.422195199960001</v>
      </c>
      <c r="P67" s="261">
        <v>67.487128199999987</v>
      </c>
      <c r="Q67" s="261">
        <v>151</v>
      </c>
      <c r="R67" s="261">
        <v>139</v>
      </c>
      <c r="S67" s="261">
        <v>175</v>
      </c>
      <c r="T67" s="261">
        <v>226.04683239560001</v>
      </c>
      <c r="U67" s="261">
        <v>272.88727332913004</v>
      </c>
      <c r="V67" s="261">
        <v>265.84369770500001</v>
      </c>
      <c r="W67" s="261">
        <v>732.74097118299983</v>
      </c>
      <c r="X67" s="261">
        <v>1782.1847993489996</v>
      </c>
      <c r="Y67" s="261">
        <f>AE67</f>
        <v>3200.7646052680002</v>
      </c>
      <c r="Z67" s="261"/>
      <c r="AB67" s="261">
        <v>664.04816198899994</v>
      </c>
      <c r="AC67" s="261">
        <v>1461.6464110769998</v>
      </c>
      <c r="AD67" s="261">
        <v>2428</v>
      </c>
      <c r="AE67" s="261">
        <v>3200.7646052680002</v>
      </c>
      <c r="AF67" s="261">
        <v>926.58710964300008</v>
      </c>
      <c r="AG67" s="261"/>
      <c r="AH67" s="261"/>
      <c r="AI67" s="261"/>
    </row>
    <row r="68" spans="2:37" x14ac:dyDescent="0.25">
      <c r="B68" s="34" t="s">
        <v>41</v>
      </c>
      <c r="C68" t="s">
        <v>17</v>
      </c>
      <c r="D68" t="s">
        <v>17</v>
      </c>
      <c r="E68" t="s">
        <v>17</v>
      </c>
      <c r="F68" t="s">
        <v>17</v>
      </c>
      <c r="G68" t="s">
        <v>17</v>
      </c>
      <c r="H68" t="s">
        <v>17</v>
      </c>
      <c r="I68" t="s">
        <v>17</v>
      </c>
      <c r="J68" s="439">
        <v>0</v>
      </c>
      <c r="K68" s="439">
        <v>0</v>
      </c>
      <c r="L68" s="439">
        <v>0</v>
      </c>
      <c r="M68" s="439">
        <v>0</v>
      </c>
      <c r="N68" s="439">
        <v>0</v>
      </c>
      <c r="O68" s="439">
        <v>0</v>
      </c>
      <c r="P68" s="439">
        <v>0</v>
      </c>
      <c r="Q68" s="439">
        <v>0</v>
      </c>
      <c r="R68" s="439">
        <v>0</v>
      </c>
      <c r="S68" s="439">
        <v>0</v>
      </c>
      <c r="T68" s="439">
        <v>0</v>
      </c>
      <c r="U68" s="439">
        <v>0</v>
      </c>
      <c r="V68" s="261">
        <v>75.663519657999984</v>
      </c>
      <c r="W68" s="261">
        <v>76.138244429999986</v>
      </c>
      <c r="X68" s="261">
        <v>168.01695623000001</v>
      </c>
      <c r="Y68" s="261">
        <f>AE68</f>
        <v>393.41413423299997</v>
      </c>
      <c r="Z68" s="261"/>
      <c r="AA68" s="261"/>
      <c r="AB68" s="261">
        <v>48.059683926999995</v>
      </c>
      <c r="AC68" s="261">
        <v>121.129160525</v>
      </c>
      <c r="AD68" s="261">
        <v>313</v>
      </c>
      <c r="AE68" s="261">
        <v>393.41413423299997</v>
      </c>
      <c r="AF68" s="261">
        <v>127.67930438299999</v>
      </c>
      <c r="AG68" s="261"/>
      <c r="AH68" s="261"/>
      <c r="AI68" s="261"/>
    </row>
    <row r="69" spans="2:37" x14ac:dyDescent="0.25">
      <c r="B69" s="34" t="s">
        <v>3</v>
      </c>
      <c r="C69" t="s">
        <v>17</v>
      </c>
      <c r="D69" t="s">
        <v>17</v>
      </c>
      <c r="E69" t="s">
        <v>17</v>
      </c>
      <c r="F69" t="s">
        <v>17</v>
      </c>
      <c r="G69" t="s">
        <v>17</v>
      </c>
      <c r="H69" t="s">
        <v>17</v>
      </c>
      <c r="I69" t="s">
        <v>17</v>
      </c>
      <c r="J69" s="439">
        <v>0</v>
      </c>
      <c r="K69" s="439">
        <v>0</v>
      </c>
      <c r="L69" s="439">
        <v>0</v>
      </c>
      <c r="M69" s="439">
        <v>0</v>
      </c>
      <c r="N69" s="439">
        <v>0</v>
      </c>
      <c r="O69" s="439">
        <v>0</v>
      </c>
      <c r="P69" s="439">
        <v>0</v>
      </c>
      <c r="Q69" s="439">
        <v>0</v>
      </c>
      <c r="R69" s="439">
        <v>0</v>
      </c>
      <c r="S69" s="439">
        <v>0</v>
      </c>
      <c r="T69" s="439">
        <v>0</v>
      </c>
      <c r="U69" s="439">
        <v>0</v>
      </c>
      <c r="V69" s="261">
        <v>190.18017804700003</v>
      </c>
      <c r="W69" s="261">
        <v>588.72953532999986</v>
      </c>
      <c r="X69" s="261">
        <v>478.71842753099997</v>
      </c>
      <c r="Y69" s="261">
        <f>AE69</f>
        <v>1061.1291908799999</v>
      </c>
      <c r="Z69" s="261"/>
      <c r="AA69" s="261"/>
      <c r="AB69" s="261">
        <v>208.820640948</v>
      </c>
      <c r="AC69" s="261">
        <v>504.26263665599993</v>
      </c>
      <c r="AD69" s="261">
        <v>813.65219387299999</v>
      </c>
      <c r="AE69" s="261">
        <v>1061.1291908799999</v>
      </c>
      <c r="AF69" s="261">
        <v>266.50456320000001</v>
      </c>
      <c r="AG69" s="261"/>
      <c r="AH69" s="261"/>
      <c r="AI69" s="261"/>
    </row>
    <row r="70" spans="2:37" x14ac:dyDescent="0.25">
      <c r="B70" s="34" t="s">
        <v>270</v>
      </c>
      <c r="J70" s="261">
        <f t="shared" ref="J70:X70" si="44">J71</f>
        <v>0</v>
      </c>
      <c r="K70" s="261">
        <f t="shared" si="44"/>
        <v>0</v>
      </c>
      <c r="L70" s="261">
        <f t="shared" si="44"/>
        <v>0</v>
      </c>
      <c r="M70" s="261">
        <f t="shared" si="44"/>
        <v>0</v>
      </c>
      <c r="N70" s="261">
        <f t="shared" si="44"/>
        <v>0</v>
      </c>
      <c r="O70" s="261">
        <f t="shared" si="44"/>
        <v>0</v>
      </c>
      <c r="P70" s="261">
        <f t="shared" si="44"/>
        <v>0</v>
      </c>
      <c r="Q70" s="261">
        <f t="shared" si="44"/>
        <v>0</v>
      </c>
      <c r="R70" s="261">
        <f t="shared" si="44"/>
        <v>0</v>
      </c>
      <c r="S70" s="261">
        <f t="shared" si="44"/>
        <v>0</v>
      </c>
      <c r="T70" s="261">
        <f t="shared" si="44"/>
        <v>0</v>
      </c>
      <c r="U70" s="261">
        <f t="shared" si="44"/>
        <v>0</v>
      </c>
      <c r="V70" s="261">
        <f t="shared" si="44"/>
        <v>0</v>
      </c>
      <c r="W70" s="261">
        <f t="shared" si="44"/>
        <v>67.873191422999994</v>
      </c>
      <c r="X70" s="261">
        <f t="shared" si="44"/>
        <v>1135.4494155879997</v>
      </c>
      <c r="Y70" s="261">
        <f>AE70</f>
        <v>1746.2212801550002</v>
      </c>
      <c r="Z70" s="261"/>
      <c r="AA70" s="261"/>
      <c r="AB70" s="261">
        <f t="shared" ref="AB70:AF70" si="45">AB71</f>
        <v>407.16783711399995</v>
      </c>
      <c r="AC70" s="261">
        <f t="shared" si="45"/>
        <v>836.25461389600002</v>
      </c>
      <c r="AD70" s="261">
        <f t="shared" si="45"/>
        <v>1301.2169212460001</v>
      </c>
      <c r="AE70" s="261">
        <f t="shared" si="45"/>
        <v>1746.2212801550002</v>
      </c>
      <c r="AF70" s="261">
        <f t="shared" si="45"/>
        <v>532.40324206000003</v>
      </c>
      <c r="AG70" s="261"/>
      <c r="AH70" s="261"/>
      <c r="AI70" s="261"/>
    </row>
    <row r="71" spans="2:37" x14ac:dyDescent="0.25">
      <c r="B71" s="108" t="s">
        <v>171</v>
      </c>
      <c r="C71" s="115" t="s">
        <v>17</v>
      </c>
      <c r="D71" s="115" t="s">
        <v>17</v>
      </c>
      <c r="E71" s="115" t="s">
        <v>17</v>
      </c>
      <c r="F71" s="115" t="s">
        <v>17</v>
      </c>
      <c r="G71" s="115" t="s">
        <v>17</v>
      </c>
      <c r="H71" s="115" t="s">
        <v>17</v>
      </c>
      <c r="I71" s="115" t="s">
        <v>17</v>
      </c>
      <c r="J71" s="344">
        <v>0</v>
      </c>
      <c r="K71" s="344">
        <v>0</v>
      </c>
      <c r="L71" s="344">
        <v>0</v>
      </c>
      <c r="M71" s="344">
        <v>0</v>
      </c>
      <c r="N71" s="344">
        <v>0</v>
      </c>
      <c r="O71" s="344">
        <v>0</v>
      </c>
      <c r="P71" s="344">
        <v>0</v>
      </c>
      <c r="Q71" s="344">
        <v>0</v>
      </c>
      <c r="R71" s="344">
        <v>0</v>
      </c>
      <c r="S71" s="344">
        <v>0</v>
      </c>
      <c r="T71" s="344">
        <v>0</v>
      </c>
      <c r="U71" s="344">
        <v>0</v>
      </c>
      <c r="V71" s="345">
        <v>0</v>
      </c>
      <c r="W71" s="345">
        <v>67.873191422999994</v>
      </c>
      <c r="X71" s="345">
        <v>1135.4494155879997</v>
      </c>
      <c r="Y71" s="344">
        <f>AE71</f>
        <v>1746.2212801550002</v>
      </c>
      <c r="Z71" s="344"/>
      <c r="AB71" s="345">
        <v>407.16783711399995</v>
      </c>
      <c r="AC71" s="345">
        <v>836.25461389600002</v>
      </c>
      <c r="AD71" s="345">
        <v>1301.2169212460001</v>
      </c>
      <c r="AE71" s="345">
        <v>1746.2212801550002</v>
      </c>
      <c r="AF71" s="345">
        <v>532.40324206000003</v>
      </c>
      <c r="AG71" s="345"/>
      <c r="AH71" s="345"/>
      <c r="AI71" s="345"/>
    </row>
    <row r="72" spans="2:37" x14ac:dyDescent="0.25">
      <c r="J72" s="253"/>
      <c r="K72" s="253"/>
      <c r="L72" s="253"/>
      <c r="M72" s="253"/>
      <c r="N72" s="253"/>
      <c r="O72" s="253"/>
      <c r="P72" s="253"/>
      <c r="Q72" s="253"/>
      <c r="R72" s="253"/>
      <c r="S72" s="253"/>
      <c r="T72" s="253"/>
      <c r="U72" s="253"/>
      <c r="W72" s="253"/>
      <c r="X72" s="253"/>
      <c r="Y72" s="253"/>
      <c r="Z72" s="253"/>
    </row>
    <row r="73" spans="2:37" x14ac:dyDescent="0.25">
      <c r="B73" s="50" t="s">
        <v>37</v>
      </c>
      <c r="C73" s="65">
        <f t="shared" ref="C73:S73" si="46">C75+C80+C82</f>
        <v>0</v>
      </c>
      <c r="D73" s="65">
        <f t="shared" si="46"/>
        <v>0</v>
      </c>
      <c r="E73" s="65">
        <f t="shared" si="46"/>
        <v>0</v>
      </c>
      <c r="F73" s="65">
        <f t="shared" si="46"/>
        <v>0</v>
      </c>
      <c r="G73" s="65">
        <f t="shared" si="46"/>
        <v>0</v>
      </c>
      <c r="H73" s="65">
        <f t="shared" si="46"/>
        <v>0</v>
      </c>
      <c r="I73" s="65">
        <f t="shared" si="46"/>
        <v>0</v>
      </c>
      <c r="J73" s="261">
        <f t="shared" si="46"/>
        <v>12890.008124214935</v>
      </c>
      <c r="K73" s="261">
        <f t="shared" si="46"/>
        <v>15782.337918927511</v>
      </c>
      <c r="L73" s="261">
        <f t="shared" si="46"/>
        <v>23306.126406005846</v>
      </c>
      <c r="M73" s="261">
        <f t="shared" si="46"/>
        <v>19382.336724610966</v>
      </c>
      <c r="N73" s="261">
        <f t="shared" si="46"/>
        <v>14495.64302561626</v>
      </c>
      <c r="O73" s="261">
        <f t="shared" si="46"/>
        <v>21582.151460514411</v>
      </c>
      <c r="P73" s="261">
        <f t="shared" si="46"/>
        <v>23180.362776122998</v>
      </c>
      <c r="Q73" s="261">
        <f t="shared" si="46"/>
        <v>15482</v>
      </c>
      <c r="R73" s="261">
        <f t="shared" si="46"/>
        <v>21138</v>
      </c>
      <c r="S73" s="261">
        <f t="shared" si="46"/>
        <v>11424</v>
      </c>
      <c r="T73" s="261">
        <v>19296.491366059527</v>
      </c>
      <c r="U73" s="261">
        <v>14096.226251612366</v>
      </c>
      <c r="V73" s="261">
        <v>18792</v>
      </c>
      <c r="W73" s="261">
        <v>15283.099539593</v>
      </c>
      <c r="X73" s="261">
        <v>11775.210974065998</v>
      </c>
      <c r="Y73" s="261">
        <f t="shared" ref="Y73:Y82" si="47">AE73</f>
        <v>14098.650056978</v>
      </c>
      <c r="Z73" s="261"/>
      <c r="AB73" s="261">
        <v>5096.7958890079999</v>
      </c>
      <c r="AC73" s="261">
        <v>7176.6767122119982</v>
      </c>
      <c r="AD73" s="261">
        <v>8966.8169346259983</v>
      </c>
      <c r="AE73" s="261">
        <v>14098.650056978</v>
      </c>
      <c r="AF73" s="261">
        <v>6980.5944344519994</v>
      </c>
      <c r="AG73" s="261"/>
      <c r="AH73" s="261"/>
      <c r="AI73" s="261"/>
      <c r="AJ73" s="490"/>
      <c r="AK73" s="490"/>
    </row>
    <row r="74" spans="2:37" x14ac:dyDescent="0.25">
      <c r="B74" s="34" t="s">
        <v>41</v>
      </c>
      <c r="J74" s="261">
        <f>J75+J80</f>
        <v>7416.8810050681723</v>
      </c>
      <c r="K74" s="261">
        <f t="shared" ref="K74:U74" si="48">K75+K80</f>
        <v>8889.3523099829999</v>
      </c>
      <c r="L74" s="261">
        <f t="shared" si="48"/>
        <v>16043.446664196998</v>
      </c>
      <c r="M74" s="261">
        <f t="shared" si="48"/>
        <v>11509.123943565</v>
      </c>
      <c r="N74" s="261">
        <f t="shared" si="48"/>
        <v>6305.2527808000004</v>
      </c>
      <c r="O74" s="261">
        <f t="shared" si="48"/>
        <v>14419.853595871999</v>
      </c>
      <c r="P74" s="261">
        <f t="shared" si="48"/>
        <v>15944.035469922997</v>
      </c>
      <c r="Q74" s="261">
        <f t="shared" si="48"/>
        <v>9883</v>
      </c>
      <c r="R74" s="261">
        <f t="shared" si="48"/>
        <v>16690</v>
      </c>
      <c r="S74" s="261">
        <f t="shared" si="48"/>
        <v>7420</v>
      </c>
      <c r="T74" s="261">
        <f t="shared" si="48"/>
        <v>13702.264744919976</v>
      </c>
      <c r="U74" s="261">
        <f t="shared" si="48"/>
        <v>9967.4066723499873</v>
      </c>
      <c r="V74" s="261">
        <f>V75+V80</f>
        <v>13248.490729136</v>
      </c>
      <c r="W74" s="261">
        <f t="shared" ref="W74:X74" si="49">W75+W80</f>
        <v>9804.8864142660022</v>
      </c>
      <c r="X74" s="261">
        <f t="shared" si="49"/>
        <v>6043.9936189319988</v>
      </c>
      <c r="Y74" s="261">
        <f t="shared" si="47"/>
        <v>9804.6576540549995</v>
      </c>
      <c r="Z74" s="261"/>
      <c r="AA74" s="261"/>
      <c r="AB74" s="261">
        <f t="shared" ref="AB74:AE74" si="50">AB75+AB80</f>
        <v>3562.6504611639998</v>
      </c>
      <c r="AC74" s="261">
        <f t="shared" si="50"/>
        <v>4708.7910351609989</v>
      </c>
      <c r="AD74" s="261">
        <f t="shared" si="50"/>
        <v>5638.227464524999</v>
      </c>
      <c r="AE74" s="261">
        <f t="shared" si="50"/>
        <v>9804.6576540549995</v>
      </c>
      <c r="AF74" s="261">
        <f t="shared" ref="AF74" si="51">AF75+AF80</f>
        <v>4869.1540380599999</v>
      </c>
      <c r="AG74" s="261"/>
      <c r="AH74" s="261"/>
      <c r="AI74" s="261"/>
    </row>
    <row r="75" spans="2:37" x14ac:dyDescent="0.25">
      <c r="B75" s="109" t="s">
        <v>51</v>
      </c>
      <c r="C75" s="80">
        <v>0</v>
      </c>
      <c r="D75" s="80">
        <v>0</v>
      </c>
      <c r="E75" s="80">
        <v>0</v>
      </c>
      <c r="F75" s="80">
        <v>0</v>
      </c>
      <c r="G75" s="80">
        <v>0</v>
      </c>
      <c r="H75" s="80">
        <v>0</v>
      </c>
      <c r="I75" s="80">
        <v>0</v>
      </c>
      <c r="J75" s="345">
        <v>6604.4910050681719</v>
      </c>
      <c r="K75" s="345">
        <v>8011.8723099830004</v>
      </c>
      <c r="L75" s="345">
        <v>15005.536664196998</v>
      </c>
      <c r="M75" s="345">
        <v>10925.093943565</v>
      </c>
      <c r="N75" s="345">
        <v>5684.4727808000007</v>
      </c>
      <c r="O75" s="345">
        <v>13321.363595871999</v>
      </c>
      <c r="P75" s="345">
        <v>14996.555469922998</v>
      </c>
      <c r="Q75" s="345">
        <f>Q77+Q78+Q79+3766</f>
        <v>9090</v>
      </c>
      <c r="R75" s="345">
        <f>15211+R79</f>
        <v>15760</v>
      </c>
      <c r="S75" s="345">
        <f>6710+S79</f>
        <v>6948</v>
      </c>
      <c r="T75" s="345">
        <v>12648.384744919997</v>
      </c>
      <c r="U75" s="345">
        <v>9087.3156723499978</v>
      </c>
      <c r="V75" s="345">
        <v>12571</v>
      </c>
      <c r="W75" s="345">
        <v>9032.9018079000016</v>
      </c>
      <c r="X75" s="345">
        <v>5585.2285028999986</v>
      </c>
      <c r="Y75" s="345">
        <f t="shared" si="47"/>
        <v>9093.7351649100001</v>
      </c>
      <c r="Z75" s="345"/>
      <c r="AB75" s="345">
        <v>3272.7908559699999</v>
      </c>
      <c r="AC75" s="345">
        <v>4325.4900419399992</v>
      </c>
      <c r="AD75" s="345">
        <v>5194.9891149299992</v>
      </c>
      <c r="AE75" s="345">
        <v>9093.7351649100001</v>
      </c>
      <c r="AF75" s="345">
        <v>4552.7854059800002</v>
      </c>
      <c r="AG75" s="345"/>
      <c r="AH75" s="345"/>
      <c r="AI75" s="345"/>
    </row>
    <row r="76" spans="2:37" x14ac:dyDescent="0.25">
      <c r="B76" s="38" t="s">
        <v>105</v>
      </c>
      <c r="C76" s="80">
        <v>0</v>
      </c>
      <c r="D76" s="80">
        <v>0</v>
      </c>
      <c r="E76" s="80">
        <v>0</v>
      </c>
      <c r="F76" s="80">
        <v>0</v>
      </c>
      <c r="G76" s="80">
        <v>0</v>
      </c>
      <c r="H76" s="80">
        <v>0</v>
      </c>
      <c r="I76" s="80">
        <v>0</v>
      </c>
      <c r="J76" s="344">
        <v>0</v>
      </c>
      <c r="K76" s="344">
        <v>0</v>
      </c>
      <c r="L76" s="344">
        <v>0</v>
      </c>
      <c r="M76" s="344">
        <v>0</v>
      </c>
      <c r="N76" s="344">
        <v>0</v>
      </c>
      <c r="O76" s="344">
        <v>0</v>
      </c>
      <c r="P76" s="344">
        <v>0</v>
      </c>
      <c r="Q76" s="344">
        <v>0</v>
      </c>
      <c r="R76" s="345">
        <v>-1438</v>
      </c>
      <c r="S76" s="345">
        <v>-2228</v>
      </c>
      <c r="T76" s="345">
        <v>-2438.3500739999999</v>
      </c>
      <c r="U76" s="345">
        <v>-1824.07978542</v>
      </c>
      <c r="V76" s="345">
        <v>-1972</v>
      </c>
      <c r="W76" s="345">
        <v>-1761.6623529999999</v>
      </c>
      <c r="X76" s="345">
        <v>-1684.8023730000002</v>
      </c>
      <c r="Y76" s="345">
        <f t="shared" si="47"/>
        <v>-1595.8187049999999</v>
      </c>
      <c r="Z76" s="345"/>
      <c r="AB76" s="345">
        <v>-373.676963</v>
      </c>
      <c r="AC76" s="345">
        <v>-717.73543700000005</v>
      </c>
      <c r="AD76" s="345">
        <v>-1142.3132879999998</v>
      </c>
      <c r="AE76" s="345">
        <v>-1595.8187049999999</v>
      </c>
      <c r="AF76" s="345">
        <v>-545.08643599999994</v>
      </c>
      <c r="AG76" s="345"/>
      <c r="AH76" s="345"/>
      <c r="AI76" s="345"/>
    </row>
    <row r="77" spans="2:37" x14ac:dyDescent="0.25">
      <c r="B77" s="38" t="s">
        <v>103</v>
      </c>
      <c r="C77" s="80">
        <v>0</v>
      </c>
      <c r="D77" s="80">
        <v>0</v>
      </c>
      <c r="E77" s="80">
        <v>0</v>
      </c>
      <c r="F77" s="80">
        <v>0</v>
      </c>
      <c r="G77" s="80">
        <v>0</v>
      </c>
      <c r="H77" s="80">
        <v>0</v>
      </c>
      <c r="I77" s="80">
        <v>0</v>
      </c>
      <c r="J77" s="345">
        <v>3707</v>
      </c>
      <c r="K77" s="345">
        <v>4624</v>
      </c>
      <c r="L77" s="345">
        <v>8396</v>
      </c>
      <c r="M77" s="345">
        <v>6612</v>
      </c>
      <c r="N77" s="345">
        <v>3049</v>
      </c>
      <c r="O77" s="345">
        <v>6975</v>
      </c>
      <c r="P77" s="345">
        <v>3729.9764609999997</v>
      </c>
      <c r="Q77" s="345">
        <v>2486</v>
      </c>
      <c r="R77" s="345">
        <v>8161</v>
      </c>
      <c r="S77" s="345">
        <v>2802</v>
      </c>
      <c r="T77" s="345">
        <v>6161.1805170000007</v>
      </c>
      <c r="U77" s="345">
        <v>4099.0493842299993</v>
      </c>
      <c r="V77" s="345">
        <v>6193.4530708099992</v>
      </c>
      <c r="W77" s="345">
        <v>3267.7759500000002</v>
      </c>
      <c r="X77" s="345">
        <v>1839.9566359999999</v>
      </c>
      <c r="Y77" s="345">
        <f t="shared" si="47"/>
        <v>3022.6849830000001</v>
      </c>
      <c r="Z77" s="345"/>
      <c r="AB77" s="345">
        <v>1189.445422</v>
      </c>
      <c r="AC77" s="345">
        <v>1613.8433300000002</v>
      </c>
      <c r="AD77" s="345">
        <v>1866.2580769999997</v>
      </c>
      <c r="AE77" s="345">
        <v>3022.6849830000001</v>
      </c>
      <c r="AF77" s="345">
        <v>1671.7259930000002</v>
      </c>
      <c r="AG77" s="345"/>
      <c r="AH77" s="345"/>
      <c r="AI77" s="345"/>
    </row>
    <row r="78" spans="2:37" x14ac:dyDescent="0.25">
      <c r="B78" s="38" t="s">
        <v>104</v>
      </c>
      <c r="C78" s="80">
        <v>0</v>
      </c>
      <c r="D78" s="80">
        <v>0</v>
      </c>
      <c r="E78" s="80">
        <v>0</v>
      </c>
      <c r="F78" s="80">
        <v>0</v>
      </c>
      <c r="G78" s="80">
        <v>0</v>
      </c>
      <c r="H78" s="80">
        <v>0</v>
      </c>
      <c r="I78" s="80">
        <v>0</v>
      </c>
      <c r="J78" s="345">
        <v>2207</v>
      </c>
      <c r="K78" s="345">
        <v>2357.6245594830007</v>
      </c>
      <c r="L78" s="345">
        <v>4649.383676696998</v>
      </c>
      <c r="M78" s="345">
        <v>2652.5313135649994</v>
      </c>
      <c r="N78" s="345">
        <v>870.04275700000107</v>
      </c>
      <c r="O78" s="345">
        <v>2536.6725315299991</v>
      </c>
      <c r="P78" s="345">
        <v>5301.3009994229997</v>
      </c>
      <c r="Q78" s="345">
        <v>2489</v>
      </c>
      <c r="R78" s="345">
        <v>7050</v>
      </c>
      <c r="S78" s="345">
        <v>3907</v>
      </c>
      <c r="T78" s="345">
        <v>6090.1563589200005</v>
      </c>
      <c r="U78" s="345">
        <v>4850.3678060000002</v>
      </c>
      <c r="V78" s="345">
        <v>6241</v>
      </c>
      <c r="W78" s="345">
        <v>5633.6723649000005</v>
      </c>
      <c r="X78" s="345">
        <v>3647.4772308999995</v>
      </c>
      <c r="Y78" s="345">
        <f t="shared" si="47"/>
        <v>5919.2410379100002</v>
      </c>
      <c r="Z78" s="345"/>
      <c r="AB78" s="345">
        <v>2025.2333399699996</v>
      </c>
      <c r="AC78" s="345">
        <v>2636.7523549399993</v>
      </c>
      <c r="AD78" s="345">
        <v>3244.0986919299994</v>
      </c>
      <c r="AE78" s="345">
        <v>5919.2410379100002</v>
      </c>
      <c r="AF78" s="345">
        <v>2802.7783539799998</v>
      </c>
      <c r="AG78" s="345"/>
      <c r="AH78" s="345"/>
      <c r="AI78" s="345"/>
    </row>
    <row r="79" spans="2:37" x14ac:dyDescent="0.25">
      <c r="B79" s="38" t="s">
        <v>106</v>
      </c>
      <c r="C79" s="80">
        <v>0</v>
      </c>
      <c r="D79" s="80">
        <v>0</v>
      </c>
      <c r="E79" s="80">
        <v>0</v>
      </c>
      <c r="F79" s="80">
        <v>0</v>
      </c>
      <c r="G79" s="80">
        <v>0</v>
      </c>
      <c r="H79" s="80">
        <v>0</v>
      </c>
      <c r="I79" s="80">
        <v>0</v>
      </c>
      <c r="J79" s="345">
        <v>171.56420906817237</v>
      </c>
      <c r="K79" s="345">
        <v>369.58991049999997</v>
      </c>
      <c r="L79" s="345">
        <v>629.56553649999989</v>
      </c>
      <c r="M79" s="345">
        <v>440.34864599999997</v>
      </c>
      <c r="N79" s="345">
        <v>252.55472829999997</v>
      </c>
      <c r="O79" s="345">
        <v>582.86962259200004</v>
      </c>
      <c r="P79" s="345">
        <v>630.54282149999995</v>
      </c>
      <c r="Q79" s="345">
        <v>349</v>
      </c>
      <c r="R79" s="345">
        <v>549</v>
      </c>
      <c r="S79" s="345">
        <v>238</v>
      </c>
      <c r="T79" s="345">
        <v>397.04786899999993</v>
      </c>
      <c r="U79" s="345">
        <v>137.89848212000001</v>
      </c>
      <c r="V79" s="345">
        <v>137</v>
      </c>
      <c r="W79" s="345">
        <v>131.45349299999998</v>
      </c>
      <c r="X79" s="345">
        <v>97.794635999999997</v>
      </c>
      <c r="Y79" s="345">
        <f t="shared" si="47"/>
        <v>151.809144</v>
      </c>
      <c r="Z79" s="345"/>
      <c r="AB79" s="345">
        <v>58.112093999999999</v>
      </c>
      <c r="AC79" s="345">
        <v>74.894356999999999</v>
      </c>
      <c r="AD79" s="345">
        <v>84.632345999999984</v>
      </c>
      <c r="AE79" s="345">
        <v>151.809144</v>
      </c>
      <c r="AF79" s="345">
        <v>78.281058999999999</v>
      </c>
      <c r="AG79" s="345"/>
      <c r="AH79" s="345"/>
      <c r="AI79" s="345"/>
    </row>
    <row r="80" spans="2:37" x14ac:dyDescent="0.25">
      <c r="B80" s="109" t="s">
        <v>50</v>
      </c>
      <c r="C80" s="80">
        <v>0</v>
      </c>
      <c r="D80" s="80">
        <v>0</v>
      </c>
      <c r="E80" s="80">
        <v>0</v>
      </c>
      <c r="F80" s="80">
        <v>0</v>
      </c>
      <c r="G80" s="80">
        <v>0</v>
      </c>
      <c r="H80" s="80">
        <v>0</v>
      </c>
      <c r="I80" s="80">
        <v>0</v>
      </c>
      <c r="J80" s="345">
        <v>812.39</v>
      </c>
      <c r="K80" s="345">
        <v>877.48</v>
      </c>
      <c r="L80" s="345">
        <v>1037.9099999999999</v>
      </c>
      <c r="M80" s="345">
        <v>584.03</v>
      </c>
      <c r="N80" s="345">
        <v>620.78000000000009</v>
      </c>
      <c r="O80" s="345">
        <v>1098.49</v>
      </c>
      <c r="P80" s="345">
        <v>947.48</v>
      </c>
      <c r="Q80" s="345">
        <v>793</v>
      </c>
      <c r="R80" s="345">
        <v>930</v>
      </c>
      <c r="S80" s="345">
        <v>472</v>
      </c>
      <c r="T80" s="345">
        <v>1053.8799999999799</v>
      </c>
      <c r="U80" s="345">
        <v>880.09099999999</v>
      </c>
      <c r="V80" s="345">
        <v>677.49072913600003</v>
      </c>
      <c r="W80" s="345">
        <v>771.98460636600009</v>
      </c>
      <c r="X80" s="345">
        <v>458.76511603199998</v>
      </c>
      <c r="Y80" s="345">
        <f t="shared" si="47"/>
        <v>710.92248914499999</v>
      </c>
      <c r="Z80" s="345"/>
      <c r="AB80" s="345">
        <v>289.85960519399998</v>
      </c>
      <c r="AC80" s="345">
        <v>383.30099322099994</v>
      </c>
      <c r="AD80" s="345">
        <v>443.23834959500005</v>
      </c>
      <c r="AE80" s="345">
        <v>710.92248914499999</v>
      </c>
      <c r="AF80" s="345">
        <v>316.36863208</v>
      </c>
      <c r="AG80" s="345"/>
      <c r="AH80" s="345"/>
      <c r="AI80" s="345"/>
    </row>
    <row r="81" spans="2:36" x14ac:dyDescent="0.25">
      <c r="B81" s="34" t="s">
        <v>270</v>
      </c>
      <c r="J81" s="261">
        <f>J82</f>
        <v>5473.127119146764</v>
      </c>
      <c r="K81" s="261">
        <f t="shared" ref="K81:U81" si="52">K82</f>
        <v>6892.9856089445111</v>
      </c>
      <c r="L81" s="261">
        <f t="shared" si="52"/>
        <v>7262.6797418088463</v>
      </c>
      <c r="M81" s="261">
        <f t="shared" si="52"/>
        <v>7873.212781045966</v>
      </c>
      <c r="N81" s="261">
        <f t="shared" si="52"/>
        <v>8190.3902448162607</v>
      </c>
      <c r="O81" s="261">
        <f t="shared" si="52"/>
        <v>7162.2978646424126</v>
      </c>
      <c r="P81" s="261">
        <f t="shared" si="52"/>
        <v>7236.3273061999998</v>
      </c>
      <c r="Q81" s="261">
        <f t="shared" si="52"/>
        <v>5599</v>
      </c>
      <c r="R81" s="261">
        <f t="shared" si="52"/>
        <v>4448</v>
      </c>
      <c r="S81" s="261">
        <f t="shared" si="52"/>
        <v>4004</v>
      </c>
      <c r="T81" s="261">
        <f t="shared" si="52"/>
        <v>5594.2266211395499</v>
      </c>
      <c r="U81" s="261">
        <f t="shared" si="52"/>
        <v>4128.8195792623801</v>
      </c>
      <c r="V81" s="261">
        <f>V82</f>
        <v>5543</v>
      </c>
      <c r="W81" s="261">
        <f t="shared" ref="W81:X81" si="53">W82</f>
        <v>5478.213125326999</v>
      </c>
      <c r="X81" s="261">
        <f t="shared" si="53"/>
        <v>5731.2173551339993</v>
      </c>
      <c r="Y81" s="261">
        <f t="shared" si="47"/>
        <v>4293.9924029229996</v>
      </c>
      <c r="Z81" s="261"/>
      <c r="AA81" s="261"/>
      <c r="AB81" s="261">
        <f>AB82</f>
        <v>1534.1454278440001</v>
      </c>
      <c r="AC81" s="261">
        <f>AC82</f>
        <v>2467.8856770509997</v>
      </c>
      <c r="AD81" s="261">
        <f>AD82</f>
        <v>3328.5894701009997</v>
      </c>
      <c r="AE81" s="261">
        <f>AE82</f>
        <v>4293.9924029229996</v>
      </c>
      <c r="AF81" s="261">
        <f>AF82</f>
        <v>2111.4403963919999</v>
      </c>
      <c r="AG81" s="261"/>
      <c r="AH81" s="261"/>
      <c r="AI81" s="261"/>
    </row>
    <row r="82" spans="2:36" x14ac:dyDescent="0.25">
      <c r="B82" s="109" t="s">
        <v>39</v>
      </c>
      <c r="C82" s="80">
        <v>0</v>
      </c>
      <c r="D82" s="80">
        <v>0</v>
      </c>
      <c r="E82" s="80">
        <v>0</v>
      </c>
      <c r="F82" s="80">
        <v>0</v>
      </c>
      <c r="G82" s="80">
        <v>0</v>
      </c>
      <c r="H82" s="80">
        <v>0</v>
      </c>
      <c r="I82" s="80">
        <v>0</v>
      </c>
      <c r="J82" s="345">
        <v>5473.127119146764</v>
      </c>
      <c r="K82" s="345">
        <v>6892.9856089445111</v>
      </c>
      <c r="L82" s="345">
        <v>7262.6797418088463</v>
      </c>
      <c r="M82" s="345">
        <v>7873.212781045966</v>
      </c>
      <c r="N82" s="345">
        <v>8190.3902448162607</v>
      </c>
      <c r="O82" s="345">
        <v>7162.2978646424126</v>
      </c>
      <c r="P82" s="345">
        <v>7236.3273061999998</v>
      </c>
      <c r="Q82" s="345">
        <v>5599</v>
      </c>
      <c r="R82" s="345">
        <v>4448</v>
      </c>
      <c r="S82" s="345">
        <v>4004</v>
      </c>
      <c r="T82" s="345">
        <v>5594.2266211395499</v>
      </c>
      <c r="U82" s="345">
        <v>4128.8195792623801</v>
      </c>
      <c r="V82" s="345">
        <v>5543</v>
      </c>
      <c r="W82" s="345">
        <v>5478.213125326999</v>
      </c>
      <c r="X82" s="345">
        <v>5731.2173551339993</v>
      </c>
      <c r="Y82" s="345">
        <f t="shared" si="47"/>
        <v>4293.9924029229996</v>
      </c>
      <c r="Z82" s="345"/>
      <c r="AB82" s="345">
        <v>1534.1454278440001</v>
      </c>
      <c r="AC82" s="345">
        <v>2467.8856770509997</v>
      </c>
      <c r="AD82" s="345">
        <v>3328.5894701009997</v>
      </c>
      <c r="AE82" s="345">
        <v>4293.9924029229996</v>
      </c>
      <c r="AF82" s="345">
        <v>2111.4403963919999</v>
      </c>
      <c r="AG82" s="345"/>
      <c r="AH82" s="345"/>
      <c r="AI82" s="345"/>
    </row>
    <row r="84" spans="2:36" x14ac:dyDescent="0.25">
      <c r="B84" s="6" t="s">
        <v>172</v>
      </c>
      <c r="C84">
        <v>0</v>
      </c>
      <c r="D84">
        <v>0</v>
      </c>
      <c r="E84">
        <v>0</v>
      </c>
      <c r="F84">
        <v>0</v>
      </c>
      <c r="G84">
        <v>0</v>
      </c>
      <c r="H84">
        <v>0</v>
      </c>
      <c r="I84">
        <v>0</v>
      </c>
      <c r="J84" s="261">
        <f>J85</f>
        <v>11311.278000000002</v>
      </c>
      <c r="K84" s="261">
        <f t="shared" ref="K84:U84" si="54">K85</f>
        <v>9690.6340000000018</v>
      </c>
      <c r="L84" s="261">
        <f t="shared" si="54"/>
        <v>9341.6831000000002</v>
      </c>
      <c r="M84" s="261">
        <f t="shared" si="54"/>
        <v>6825.6453000000001</v>
      </c>
      <c r="N84" s="261">
        <f t="shared" si="54"/>
        <v>3105.5553</v>
      </c>
      <c r="O84" s="261">
        <f t="shared" si="54"/>
        <v>1433.9327997137234</v>
      </c>
      <c r="P84" s="261">
        <f t="shared" si="54"/>
        <v>1162.9965996999999</v>
      </c>
      <c r="Q84" s="261">
        <f t="shared" si="54"/>
        <v>3665.5</v>
      </c>
      <c r="R84" s="261">
        <f t="shared" si="54"/>
        <v>5241.5</v>
      </c>
      <c r="S84" s="261">
        <f t="shared" si="54"/>
        <v>8029</v>
      </c>
      <c r="T84" s="261">
        <f t="shared" si="54"/>
        <v>5332.7130985999993</v>
      </c>
      <c r="U84" s="261">
        <f t="shared" si="54"/>
        <v>10183.406699540001</v>
      </c>
      <c r="V84" s="261">
        <f>V85</f>
        <v>9759.4069472499996</v>
      </c>
      <c r="W84" s="261">
        <f t="shared" ref="W84:X84" si="55">W85</f>
        <v>6434.8743978319999</v>
      </c>
      <c r="X84" s="261">
        <f t="shared" si="55"/>
        <v>9033.4202364360008</v>
      </c>
      <c r="Y84" s="261">
        <f>AE84</f>
        <v>4046.7786151459995</v>
      </c>
      <c r="Z84" s="261"/>
      <c r="AA84" s="251"/>
      <c r="AB84" s="261">
        <f t="shared" ref="AB84:AF84" si="56">AB85</f>
        <v>1232.152086132</v>
      </c>
      <c r="AC84" s="261">
        <f t="shared" si="56"/>
        <v>2136.4539061940004</v>
      </c>
      <c r="AD84" s="261">
        <f t="shared" si="56"/>
        <v>3358.9308155340004</v>
      </c>
      <c r="AE84" s="261">
        <f t="shared" si="56"/>
        <v>4046.7786151459995</v>
      </c>
      <c r="AF84" s="261">
        <f t="shared" si="56"/>
        <v>388.35247375099999</v>
      </c>
      <c r="AG84" s="261"/>
      <c r="AH84" s="261"/>
      <c r="AI84" s="261"/>
    </row>
    <row r="85" spans="2:36" x14ac:dyDescent="0.25">
      <c r="B85" s="6" t="s">
        <v>41</v>
      </c>
      <c r="J85" s="261">
        <v>11311.278000000002</v>
      </c>
      <c r="K85" s="261">
        <v>9690.6340000000018</v>
      </c>
      <c r="L85" s="261">
        <v>9341.6831000000002</v>
      </c>
      <c r="M85" s="261">
        <v>6825.6453000000001</v>
      </c>
      <c r="N85" s="261">
        <v>3105.5553</v>
      </c>
      <c r="O85" s="261">
        <v>1433.9327997137234</v>
      </c>
      <c r="P85" s="261">
        <v>1162.9965996999999</v>
      </c>
      <c r="Q85" s="261">
        <v>3665.5</v>
      </c>
      <c r="R85" s="261">
        <v>5241.5</v>
      </c>
      <c r="S85" s="261">
        <v>8029</v>
      </c>
      <c r="T85" s="261">
        <v>5332.7130985999993</v>
      </c>
      <c r="U85" s="261">
        <v>10183.406699540001</v>
      </c>
      <c r="V85" s="261">
        <v>9759.4069472499996</v>
      </c>
      <c r="W85" s="261">
        <v>6434.8743978319999</v>
      </c>
      <c r="X85" s="261">
        <v>9033.4202364360008</v>
      </c>
      <c r="Y85" s="261">
        <f>AE85</f>
        <v>4046.7786151459995</v>
      </c>
      <c r="Z85" s="261"/>
      <c r="AA85" s="251"/>
      <c r="AB85" s="261">
        <v>1232.152086132</v>
      </c>
      <c r="AC85" s="261">
        <v>2136.4539061940004</v>
      </c>
      <c r="AD85" s="261">
        <v>3358.9308155340004</v>
      </c>
      <c r="AE85" s="261">
        <v>4046.7786151459995</v>
      </c>
      <c r="AF85" s="261">
        <v>388.35247375099999</v>
      </c>
      <c r="AG85" s="261"/>
      <c r="AH85" s="261"/>
      <c r="AI85" s="261"/>
    </row>
    <row r="87" spans="2:36" x14ac:dyDescent="0.25">
      <c r="B87" s="6" t="s">
        <v>164</v>
      </c>
      <c r="C87">
        <f t="shared" ref="C87:I87" si="57">SUM(C89:C91)</f>
        <v>0</v>
      </c>
      <c r="D87">
        <f t="shared" si="57"/>
        <v>0</v>
      </c>
      <c r="E87">
        <f t="shared" si="57"/>
        <v>0</v>
      </c>
      <c r="F87">
        <f t="shared" si="57"/>
        <v>0</v>
      </c>
      <c r="G87">
        <f t="shared" si="57"/>
        <v>0</v>
      </c>
      <c r="H87">
        <f t="shared" si="57"/>
        <v>0</v>
      </c>
      <c r="I87">
        <f t="shared" si="57"/>
        <v>0</v>
      </c>
      <c r="J87" s="261">
        <f>J89</f>
        <v>13500.787268</v>
      </c>
      <c r="K87" s="261">
        <f>K89</f>
        <v>14734.245671000001</v>
      </c>
      <c r="L87" s="261">
        <f>L89</f>
        <v>9133.092102999999</v>
      </c>
      <c r="M87" s="261">
        <f t="shared" ref="M87:S87" si="58">M89+M91</f>
        <v>12232.363108000001</v>
      </c>
      <c r="N87" s="261">
        <f t="shared" si="58"/>
        <v>15388.099319000001</v>
      </c>
      <c r="O87" s="261">
        <f t="shared" si="58"/>
        <v>15552.612537643616</v>
      </c>
      <c r="P87" s="261">
        <f t="shared" si="58"/>
        <v>14542.765119899999</v>
      </c>
      <c r="Q87" s="261">
        <f t="shared" si="58"/>
        <v>21630.5</v>
      </c>
      <c r="R87" s="261">
        <f t="shared" si="58"/>
        <v>17664</v>
      </c>
      <c r="S87" s="261">
        <f t="shared" si="58"/>
        <v>21444</v>
      </c>
      <c r="T87" s="261">
        <v>17471.041009957022</v>
      </c>
      <c r="U87" s="261">
        <v>10856.081974279859</v>
      </c>
      <c r="V87" s="261">
        <v>5821.1067476169992</v>
      </c>
      <c r="W87" s="261">
        <v>7568.5571464860004</v>
      </c>
      <c r="X87" s="261">
        <v>6830.0391946440004</v>
      </c>
      <c r="Y87" s="261">
        <f>AE87</f>
        <v>3248.8976140169993</v>
      </c>
      <c r="Z87" s="261"/>
      <c r="AA87" s="251"/>
      <c r="AB87" s="261">
        <v>907.80936444399993</v>
      </c>
      <c r="AC87" s="261">
        <v>1643.4332773810002</v>
      </c>
      <c r="AD87" s="261">
        <v>2393.8554574689997</v>
      </c>
      <c r="AE87" s="261">
        <v>3248.8976140169993</v>
      </c>
      <c r="AF87" s="261">
        <v>42.196679971999998</v>
      </c>
      <c r="AG87" s="261"/>
      <c r="AH87" s="261"/>
      <c r="AI87" s="261"/>
    </row>
    <row r="88" spans="2:36" x14ac:dyDescent="0.25">
      <c r="B88" s="6" t="s">
        <v>41</v>
      </c>
      <c r="J88" s="261">
        <f>J89</f>
        <v>13500.787268</v>
      </c>
      <c r="K88" s="261">
        <f t="shared" ref="K88:U88" si="59">K89</f>
        <v>14734.245671000001</v>
      </c>
      <c r="L88" s="261">
        <f t="shared" si="59"/>
        <v>9133.092102999999</v>
      </c>
      <c r="M88" s="261">
        <f t="shared" si="59"/>
        <v>12232.363108000001</v>
      </c>
      <c r="N88" s="261">
        <f t="shared" si="59"/>
        <v>15361.691039000001</v>
      </c>
      <c r="O88" s="261">
        <f t="shared" si="59"/>
        <v>14348.867520062982</v>
      </c>
      <c r="P88" s="261">
        <f t="shared" si="59"/>
        <v>14542.765119899999</v>
      </c>
      <c r="Q88" s="261">
        <f t="shared" si="59"/>
        <v>18603</v>
      </c>
      <c r="R88" s="261">
        <f t="shared" si="59"/>
        <v>13232</v>
      </c>
      <c r="S88" s="261">
        <f t="shared" si="59"/>
        <v>16847</v>
      </c>
      <c r="T88" s="261">
        <f t="shared" si="59"/>
        <v>14015.671088350002</v>
      </c>
      <c r="U88" s="261">
        <f t="shared" si="59"/>
        <v>7148.9922321100003</v>
      </c>
      <c r="V88" s="261">
        <f>V89</f>
        <v>4235.3127476169993</v>
      </c>
      <c r="W88" s="261">
        <f t="shared" ref="W88:X88" si="60">W89</f>
        <v>4151.9325505449997</v>
      </c>
      <c r="X88" s="261">
        <f t="shared" si="60"/>
        <v>6826.2512498330007</v>
      </c>
      <c r="Y88" s="261">
        <f>AE88</f>
        <v>3188.3907698389994</v>
      </c>
      <c r="Z88" s="261"/>
      <c r="AA88" s="251"/>
      <c r="AB88" s="261">
        <f>AB89</f>
        <v>907.80936444399993</v>
      </c>
      <c r="AC88" s="261">
        <f>AC89</f>
        <v>1643.4332773810002</v>
      </c>
      <c r="AD88" s="261">
        <f>AD89</f>
        <v>2393.8554574689997</v>
      </c>
      <c r="AE88" s="261">
        <f>AE89</f>
        <v>3188.3907698389994</v>
      </c>
      <c r="AF88" s="261">
        <f>AF89</f>
        <v>42.196679971999998</v>
      </c>
      <c r="AG88" s="261"/>
      <c r="AH88" s="261"/>
      <c r="AI88" s="261"/>
    </row>
    <row r="89" spans="2:36" x14ac:dyDescent="0.25">
      <c r="B89" s="109" t="s">
        <v>38</v>
      </c>
      <c r="C89" s="80">
        <v>0</v>
      </c>
      <c r="D89" s="80">
        <v>0</v>
      </c>
      <c r="E89" s="80">
        <v>0</v>
      </c>
      <c r="F89" s="80">
        <v>0</v>
      </c>
      <c r="G89" s="80">
        <v>0</v>
      </c>
      <c r="H89" s="80">
        <v>0</v>
      </c>
      <c r="I89" s="80">
        <v>0</v>
      </c>
      <c r="J89" s="345">
        <v>13500.787268</v>
      </c>
      <c r="K89" s="345">
        <v>14734.245671000001</v>
      </c>
      <c r="L89" s="345">
        <v>9133.092102999999</v>
      </c>
      <c r="M89" s="345">
        <v>12232.363108000001</v>
      </c>
      <c r="N89" s="345">
        <v>15361.691039000001</v>
      </c>
      <c r="O89" s="345">
        <v>14348.867520062982</v>
      </c>
      <c r="P89" s="345">
        <v>14542.765119899999</v>
      </c>
      <c r="Q89" s="345">
        <f>9657+8946</f>
        <v>18603</v>
      </c>
      <c r="R89" s="345">
        <v>13232</v>
      </c>
      <c r="S89" s="345">
        <f>9426+7421</f>
        <v>16847</v>
      </c>
      <c r="T89" s="345">
        <v>14015.671088350002</v>
      </c>
      <c r="U89" s="345">
        <v>7148.9922321100003</v>
      </c>
      <c r="V89" s="345">
        <v>4235.3127476169993</v>
      </c>
      <c r="W89" s="345">
        <v>4151.9325505449997</v>
      </c>
      <c r="X89" s="345">
        <v>6826.2512498330007</v>
      </c>
      <c r="Y89" s="345">
        <f>AE89</f>
        <v>3188.3907698389994</v>
      </c>
      <c r="Z89" s="345"/>
      <c r="AB89" s="345">
        <v>907.80936444399993</v>
      </c>
      <c r="AC89" s="345">
        <v>1643.4332773810002</v>
      </c>
      <c r="AD89" s="345">
        <v>2393.8554574689997</v>
      </c>
      <c r="AE89" s="345">
        <v>3188.3907698389994</v>
      </c>
      <c r="AF89" s="345">
        <v>42.196679971999998</v>
      </c>
      <c r="AG89" s="345"/>
      <c r="AH89" s="345"/>
      <c r="AI89" s="345"/>
    </row>
    <row r="90" spans="2:36" x14ac:dyDescent="0.25">
      <c r="B90" s="6" t="s">
        <v>270</v>
      </c>
      <c r="J90" s="261">
        <f t="shared" ref="J90:X90" si="61">J91</f>
        <v>0</v>
      </c>
      <c r="K90" s="261">
        <f t="shared" si="61"/>
        <v>0</v>
      </c>
      <c r="L90" s="261">
        <f t="shared" si="61"/>
        <v>0</v>
      </c>
      <c r="M90" s="261">
        <f t="shared" si="61"/>
        <v>0</v>
      </c>
      <c r="N90" s="261">
        <f t="shared" si="61"/>
        <v>26.408279999999998</v>
      </c>
      <c r="O90" s="261">
        <f t="shared" si="61"/>
        <v>1203.745017580633</v>
      </c>
      <c r="P90" s="261">
        <f t="shared" si="61"/>
        <v>0</v>
      </c>
      <c r="Q90" s="261">
        <f t="shared" si="61"/>
        <v>3027.5</v>
      </c>
      <c r="R90" s="261">
        <f t="shared" si="61"/>
        <v>4432</v>
      </c>
      <c r="S90" s="261">
        <f t="shared" si="61"/>
        <v>4597</v>
      </c>
      <c r="T90" s="261">
        <f t="shared" si="61"/>
        <v>3455.3699216070199</v>
      </c>
      <c r="U90" s="261">
        <f t="shared" si="61"/>
        <v>3707.0897421698596</v>
      </c>
      <c r="V90" s="261">
        <f t="shared" si="61"/>
        <v>1585.7940000000001</v>
      </c>
      <c r="W90" s="261">
        <f t="shared" si="61"/>
        <v>3416.6245959410003</v>
      </c>
      <c r="X90" s="261">
        <f t="shared" si="61"/>
        <v>3.787944811</v>
      </c>
      <c r="Y90" s="261">
        <f>AE90</f>
        <v>60.506844178000001</v>
      </c>
      <c r="Z90" s="261"/>
      <c r="AA90" s="251"/>
      <c r="AB90" s="261">
        <f>AB91</f>
        <v>0</v>
      </c>
      <c r="AC90" s="261">
        <f>AC91</f>
        <v>0</v>
      </c>
      <c r="AD90" s="261">
        <f>AD91</f>
        <v>0</v>
      </c>
      <c r="AE90" s="261">
        <f>AE91</f>
        <v>60.506844178000001</v>
      </c>
      <c r="AF90" s="261">
        <f>AF91</f>
        <v>0</v>
      </c>
      <c r="AG90" s="261"/>
      <c r="AH90" s="261"/>
      <c r="AI90" s="261"/>
      <c r="AJ90" s="251"/>
    </row>
    <row r="91" spans="2:36" x14ac:dyDescent="0.25">
      <c r="B91" s="111" t="s">
        <v>39</v>
      </c>
      <c r="C91" s="80">
        <v>0</v>
      </c>
      <c r="D91" s="80">
        <v>0</v>
      </c>
      <c r="E91" s="80">
        <v>0</v>
      </c>
      <c r="F91" s="80">
        <v>0</v>
      </c>
      <c r="G91" s="80">
        <v>0</v>
      </c>
      <c r="H91" s="80">
        <v>0</v>
      </c>
      <c r="I91" s="80">
        <v>0</v>
      </c>
      <c r="J91" s="344">
        <v>0</v>
      </c>
      <c r="K91" s="344">
        <v>0</v>
      </c>
      <c r="L91" s="344">
        <v>0</v>
      </c>
      <c r="M91" s="344">
        <v>0</v>
      </c>
      <c r="N91" s="345">
        <v>26.408279999999998</v>
      </c>
      <c r="O91" s="345">
        <v>1203.745017580633</v>
      </c>
      <c r="P91" s="345">
        <v>0</v>
      </c>
      <c r="Q91" s="345">
        <v>3027.5</v>
      </c>
      <c r="R91" s="345">
        <v>4432</v>
      </c>
      <c r="S91" s="345">
        <v>4597</v>
      </c>
      <c r="T91" s="345">
        <v>3455.3699216070199</v>
      </c>
      <c r="U91" s="345">
        <v>3707.0897421698596</v>
      </c>
      <c r="V91" s="345">
        <v>1585.7940000000001</v>
      </c>
      <c r="W91" s="345">
        <v>3416.6245959410003</v>
      </c>
      <c r="X91" s="345">
        <v>3.787944811</v>
      </c>
      <c r="Y91" s="345">
        <f>AE91</f>
        <v>60.506844178000001</v>
      </c>
      <c r="Z91" s="345"/>
      <c r="AB91" s="345">
        <v>0</v>
      </c>
      <c r="AC91" s="345">
        <v>0</v>
      </c>
      <c r="AD91" s="345">
        <v>0</v>
      </c>
      <c r="AE91" s="345">
        <v>60.506844178000001</v>
      </c>
      <c r="AF91" s="345">
        <v>0</v>
      </c>
      <c r="AG91" s="345"/>
      <c r="AH91" s="345"/>
      <c r="AI91" s="345"/>
    </row>
    <row r="92" spans="2:36" x14ac:dyDescent="0.25">
      <c r="B92" s="50"/>
      <c r="C92" s="80"/>
      <c r="D92" s="80"/>
      <c r="E92" s="80"/>
      <c r="F92" s="80"/>
      <c r="G92" s="80"/>
      <c r="H92" s="80"/>
      <c r="I92" s="80"/>
      <c r="J92" s="345"/>
      <c r="K92" s="345"/>
      <c r="L92" s="345"/>
      <c r="M92" s="345"/>
      <c r="N92" s="345"/>
      <c r="O92" s="345"/>
      <c r="P92" s="345"/>
      <c r="Q92" s="345"/>
      <c r="R92" s="345"/>
      <c r="S92" s="345"/>
      <c r="T92" s="345"/>
      <c r="U92" s="345"/>
      <c r="V92" s="345"/>
      <c r="W92" s="345"/>
      <c r="X92" s="345"/>
      <c r="Y92" s="345"/>
      <c r="Z92" s="345"/>
      <c r="AB92" s="345"/>
      <c r="AC92" s="345"/>
      <c r="AD92" s="345"/>
      <c r="AE92" s="345"/>
      <c r="AF92" s="345"/>
      <c r="AG92" s="345"/>
      <c r="AH92" s="345"/>
      <c r="AI92" s="345"/>
    </row>
    <row r="93" spans="2:36" x14ac:dyDescent="0.25">
      <c r="B93" s="6" t="s">
        <v>173</v>
      </c>
      <c r="C93">
        <v>0</v>
      </c>
      <c r="D93">
        <v>0</v>
      </c>
      <c r="E93">
        <v>0</v>
      </c>
      <c r="F93">
        <v>0</v>
      </c>
      <c r="G93">
        <v>0</v>
      </c>
      <c r="H93">
        <v>0</v>
      </c>
      <c r="I93">
        <v>0</v>
      </c>
      <c r="J93" s="261">
        <f>J95+J96</f>
        <v>2198.1353422658976</v>
      </c>
      <c r="K93" s="261">
        <f>K95+K96</f>
        <v>2055.0242200659877</v>
      </c>
      <c r="L93" s="261">
        <v>1958.3752230729758</v>
      </c>
      <c r="M93" s="261">
        <f t="shared" ref="M93:S93" si="62">M95+M96</f>
        <v>1940.3558715173137</v>
      </c>
      <c r="N93" s="261">
        <f t="shared" si="62"/>
        <v>1993.9342736956064</v>
      </c>
      <c r="O93" s="261">
        <f t="shared" si="62"/>
        <v>1056.5952108877632</v>
      </c>
      <c r="P93" s="261">
        <f t="shared" si="62"/>
        <v>366.85280620000003</v>
      </c>
      <c r="Q93" s="261">
        <f t="shared" si="62"/>
        <v>313.5</v>
      </c>
      <c r="R93" s="261">
        <f t="shared" si="62"/>
        <v>255.5</v>
      </c>
      <c r="S93" s="261">
        <f t="shared" si="62"/>
        <v>247</v>
      </c>
      <c r="T93" s="261">
        <v>308.50411882499998</v>
      </c>
      <c r="U93" s="261">
        <v>270.09220102500001</v>
      </c>
      <c r="V93" s="261">
        <v>211.29589940899996</v>
      </c>
      <c r="W93" s="261">
        <v>172.98763125000005</v>
      </c>
      <c r="X93" s="261">
        <v>157.97282061599998</v>
      </c>
      <c r="Y93" s="261">
        <f>AE93</f>
        <v>130.21130049999999</v>
      </c>
      <c r="Z93" s="261"/>
      <c r="AA93" s="251"/>
      <c r="AB93" s="261">
        <v>32.158383999999998</v>
      </c>
      <c r="AC93" s="261">
        <v>67.513530499999987</v>
      </c>
      <c r="AD93" s="261">
        <v>101.04677049999999</v>
      </c>
      <c r="AE93" s="261">
        <v>130.21130049999999</v>
      </c>
      <c r="AF93" s="261">
        <v>11.574590000000002</v>
      </c>
      <c r="AG93" s="261"/>
      <c r="AH93" s="261"/>
      <c r="AI93" s="261"/>
    </row>
    <row r="94" spans="2:36" x14ac:dyDescent="0.25">
      <c r="B94" s="6" t="s">
        <v>41</v>
      </c>
      <c r="J94" s="261">
        <f>J95+J96</f>
        <v>2198.1353422658976</v>
      </c>
      <c r="K94" s="261">
        <f t="shared" ref="K94:U94" si="63">K95+K96</f>
        <v>2055.0242200659877</v>
      </c>
      <c r="L94" s="261">
        <f t="shared" si="63"/>
        <v>1958.3752230729758</v>
      </c>
      <c r="M94" s="261">
        <f>M95+M96</f>
        <v>1940.3558715173137</v>
      </c>
      <c r="N94" s="261">
        <f>N95+N96</f>
        <v>1993.9342736956064</v>
      </c>
      <c r="O94" s="261">
        <f>O95+O96</f>
        <v>1056.5952108877632</v>
      </c>
      <c r="P94" s="261">
        <f>P95+P96</f>
        <v>366.85280620000003</v>
      </c>
      <c r="Q94" s="261">
        <f t="shared" si="63"/>
        <v>313.5</v>
      </c>
      <c r="R94" s="261">
        <f t="shared" si="63"/>
        <v>255.5</v>
      </c>
      <c r="S94" s="261">
        <f t="shared" si="63"/>
        <v>247</v>
      </c>
      <c r="T94" s="261">
        <f t="shared" si="63"/>
        <v>308.50411882499998</v>
      </c>
      <c r="U94" s="261">
        <f t="shared" si="63"/>
        <v>270.09220102500001</v>
      </c>
      <c r="V94" s="261">
        <f>V95+V96</f>
        <v>211.29589940899993</v>
      </c>
      <c r="W94" s="261">
        <f>W95+W96</f>
        <v>172.98763125000005</v>
      </c>
      <c r="X94" s="261">
        <f t="shared" ref="X94" si="64">X95+X96</f>
        <v>157.97282061599998</v>
      </c>
      <c r="Y94" s="261">
        <f>AE94</f>
        <v>130.21130049999999</v>
      </c>
      <c r="Z94" s="261"/>
      <c r="AA94" s="251"/>
      <c r="AB94" s="261">
        <f t="shared" ref="AB94:AE94" si="65">AB95+AB96</f>
        <v>32.158383999999998</v>
      </c>
      <c r="AC94" s="261">
        <f t="shared" si="65"/>
        <v>67.513530499999987</v>
      </c>
      <c r="AD94" s="261">
        <f t="shared" si="65"/>
        <v>101.04677049999999</v>
      </c>
      <c r="AE94" s="261">
        <f t="shared" si="65"/>
        <v>130.21130049999999</v>
      </c>
      <c r="AF94" s="261">
        <f t="shared" ref="AF94" si="66">AF95+AF96</f>
        <v>11.574590000000002</v>
      </c>
      <c r="AG94" s="261"/>
      <c r="AH94" s="261"/>
      <c r="AI94" s="261"/>
    </row>
    <row r="95" spans="2:36" x14ac:dyDescent="0.25">
      <c r="B95" s="109" t="s">
        <v>51</v>
      </c>
      <c r="C95" s="80">
        <v>0</v>
      </c>
      <c r="D95" s="80">
        <v>0</v>
      </c>
      <c r="E95" s="80">
        <v>0</v>
      </c>
      <c r="F95" s="80">
        <v>0</v>
      </c>
      <c r="G95" s="80">
        <v>0</v>
      </c>
      <c r="H95" s="80">
        <v>0</v>
      </c>
      <c r="I95" s="80">
        <v>0</v>
      </c>
      <c r="J95" s="345">
        <v>800.76068800000007</v>
      </c>
      <c r="K95" s="345">
        <v>306.86866500000008</v>
      </c>
      <c r="L95" s="345">
        <v>46.102167000000001</v>
      </c>
      <c r="M95" s="345">
        <v>-6.0327000000000019</v>
      </c>
      <c r="N95" s="345">
        <v>0.63595999999999975</v>
      </c>
      <c r="O95" s="345">
        <v>486.17843288999984</v>
      </c>
      <c r="P95" s="345">
        <v>214.09301320000003</v>
      </c>
      <c r="Q95" s="345">
        <f>182.5</f>
        <v>182.5</v>
      </c>
      <c r="R95" s="345">
        <v>155.5</v>
      </c>
      <c r="S95" s="345">
        <v>119</v>
      </c>
      <c r="T95" s="345">
        <v>182.44945199999998</v>
      </c>
      <c r="U95" s="345">
        <v>163.4536785</v>
      </c>
      <c r="V95" s="345">
        <v>138.44595662499998</v>
      </c>
      <c r="W95" s="345">
        <v>124.97831199999997</v>
      </c>
      <c r="X95" s="345">
        <v>140.73690649999998</v>
      </c>
      <c r="Y95" s="345">
        <f>AE95</f>
        <v>130.21130049999999</v>
      </c>
      <c r="Z95" s="345"/>
      <c r="AB95" s="345">
        <v>32.158383999999998</v>
      </c>
      <c r="AC95" s="345">
        <v>67.513530499999987</v>
      </c>
      <c r="AD95" s="345">
        <v>101.04677049999999</v>
      </c>
      <c r="AE95" s="345">
        <v>130.21130049999999</v>
      </c>
      <c r="AF95" s="345">
        <v>11.574590000000002</v>
      </c>
      <c r="AG95" s="345"/>
      <c r="AH95" s="345"/>
      <c r="AI95" s="345"/>
    </row>
    <row r="96" spans="2:36" x14ac:dyDescent="0.25">
      <c r="B96" s="109" t="s">
        <v>50</v>
      </c>
      <c r="C96" s="80">
        <v>0</v>
      </c>
      <c r="D96" s="80">
        <v>0</v>
      </c>
      <c r="E96" s="80">
        <v>0</v>
      </c>
      <c r="F96" s="80">
        <v>0</v>
      </c>
      <c r="G96" s="80">
        <v>0</v>
      </c>
      <c r="H96" s="80">
        <v>0</v>
      </c>
      <c r="I96" s="80">
        <v>0</v>
      </c>
      <c r="J96" s="440">
        <v>1397.3746542658978</v>
      </c>
      <c r="K96" s="440">
        <v>1748.1555550659875</v>
      </c>
      <c r="L96" s="440">
        <v>1912.2730560729758</v>
      </c>
      <c r="M96" s="440">
        <v>1946.3885715173137</v>
      </c>
      <c r="N96" s="440">
        <v>1993.2983136956063</v>
      </c>
      <c r="O96" s="440">
        <v>570.41677799776346</v>
      </c>
      <c r="P96" s="440">
        <v>152.75979300000003</v>
      </c>
      <c r="Q96" s="440">
        <f>131</f>
        <v>131</v>
      </c>
      <c r="R96" s="440">
        <f>100</f>
        <v>100</v>
      </c>
      <c r="S96" s="440">
        <f>128</f>
        <v>128</v>
      </c>
      <c r="T96" s="440">
        <f>T93-T95</f>
        <v>126.054666825</v>
      </c>
      <c r="U96" s="440">
        <f>U93-U95</f>
        <v>106.63852252500001</v>
      </c>
      <c r="V96" s="440">
        <v>72.84994278399995</v>
      </c>
      <c r="W96" s="440">
        <v>48.00931925000009</v>
      </c>
      <c r="X96" s="440">
        <v>17.235914116000004</v>
      </c>
      <c r="Y96" s="345">
        <f>AE96</f>
        <v>0</v>
      </c>
      <c r="Z96" s="345"/>
      <c r="AA96" s="333"/>
      <c r="AB96" s="440">
        <v>0</v>
      </c>
      <c r="AC96" s="440">
        <v>0</v>
      </c>
      <c r="AD96" s="440">
        <v>0</v>
      </c>
      <c r="AE96" s="440">
        <v>0</v>
      </c>
      <c r="AF96" s="440">
        <v>0</v>
      </c>
      <c r="AG96" s="440"/>
      <c r="AH96" s="440"/>
      <c r="AI96" s="440"/>
    </row>
    <row r="97" spans="2:35" x14ac:dyDescent="0.25">
      <c r="AG97" s="440"/>
      <c r="AH97" s="440"/>
      <c r="AI97" s="440"/>
    </row>
    <row r="98" spans="2:35" x14ac:dyDescent="0.25">
      <c r="B98" s="110" t="s">
        <v>174</v>
      </c>
      <c r="C98" s="65">
        <f t="shared" ref="C98:I98" si="67">C93+C87+C84+C73+C67+C56</f>
        <v>0</v>
      </c>
      <c r="D98" s="65">
        <f t="shared" si="67"/>
        <v>0</v>
      </c>
      <c r="E98" s="65">
        <f t="shared" si="67"/>
        <v>0</v>
      </c>
      <c r="F98" s="65">
        <f t="shared" si="67"/>
        <v>0</v>
      </c>
      <c r="G98" s="65">
        <f t="shared" si="67"/>
        <v>0</v>
      </c>
      <c r="H98" s="65">
        <f t="shared" si="67"/>
        <v>0</v>
      </c>
      <c r="I98" s="65">
        <f t="shared" si="67"/>
        <v>0</v>
      </c>
      <c r="J98" s="261">
        <f t="shared" ref="J98:S98" si="68">J93+J87+J85+J73+J67+J56</f>
        <v>47706.925744176406</v>
      </c>
      <c r="K98" s="261">
        <f t="shared" si="68"/>
        <v>53169.330982059626</v>
      </c>
      <c r="L98" s="261">
        <f t="shared" si="68"/>
        <v>58091.172760857728</v>
      </c>
      <c r="M98" s="261">
        <f t="shared" si="68"/>
        <v>57181.180281903507</v>
      </c>
      <c r="N98" s="261">
        <f t="shared" si="68"/>
        <v>53427.989147626911</v>
      </c>
      <c r="O98" s="261">
        <f t="shared" si="68"/>
        <v>58811.821827135078</v>
      </c>
      <c r="P98" s="261">
        <f t="shared" si="68"/>
        <v>59015.928277622996</v>
      </c>
      <c r="Q98" s="261">
        <f t="shared" si="68"/>
        <v>62479.5</v>
      </c>
      <c r="R98" s="261">
        <f t="shared" si="68"/>
        <v>68772</v>
      </c>
      <c r="S98" s="261">
        <f t="shared" si="68"/>
        <v>68765</v>
      </c>
      <c r="T98" s="461">
        <v>70767.451874476945</v>
      </c>
      <c r="U98" s="461">
        <v>65446.583223626527</v>
      </c>
      <c r="V98" s="461">
        <v>63121.383114744996</v>
      </c>
      <c r="W98" s="461">
        <v>59784.038351494994</v>
      </c>
      <c r="X98" s="461">
        <v>61350.646348472997</v>
      </c>
      <c r="Y98" s="461">
        <f>AE98</f>
        <v>56394.557001865003</v>
      </c>
      <c r="Z98" s="461"/>
      <c r="AA98" s="333"/>
      <c r="AB98" s="461">
        <v>17563.001424249996</v>
      </c>
      <c r="AC98" s="461">
        <v>29118.531473506002</v>
      </c>
      <c r="AD98" s="461">
        <v>40205.650866170996</v>
      </c>
      <c r="AE98" s="261">
        <v>56394.557001865003</v>
      </c>
      <c r="AF98" s="461">
        <v>17405.255472918001</v>
      </c>
      <c r="AG98" s="261"/>
      <c r="AH98" s="261"/>
      <c r="AI98" s="261"/>
    </row>
    <row r="99" spans="2:35" x14ac:dyDescent="0.25">
      <c r="B99" s="38" t="s">
        <v>175</v>
      </c>
      <c r="C99" s="80"/>
      <c r="D99" s="80"/>
      <c r="E99" s="80"/>
      <c r="F99" s="80"/>
      <c r="G99" s="80"/>
      <c r="H99" s="80"/>
      <c r="I99" s="80"/>
      <c r="J99" s="345"/>
      <c r="K99" s="345"/>
      <c r="L99" s="345"/>
      <c r="M99" s="345"/>
      <c r="N99" s="345"/>
      <c r="O99" s="345"/>
      <c r="P99" s="345"/>
      <c r="Q99" s="345"/>
      <c r="R99" s="345"/>
      <c r="S99" s="345"/>
      <c r="T99" s="345"/>
      <c r="U99" s="345"/>
      <c r="V99" s="261"/>
      <c r="W99" s="261"/>
      <c r="X99" s="261"/>
      <c r="Y99" s="345"/>
      <c r="Z99" s="345"/>
      <c r="AB99" s="261"/>
      <c r="AC99" s="261"/>
      <c r="AD99" s="261"/>
      <c r="AE99" s="261"/>
      <c r="AF99" s="261"/>
      <c r="AG99" s="345"/>
      <c r="AH99" s="345"/>
      <c r="AI99" s="345"/>
    </row>
    <row r="100" spans="2:35" x14ac:dyDescent="0.25">
      <c r="B100" s="112" t="s">
        <v>51</v>
      </c>
      <c r="C100" s="115" t="s">
        <v>17</v>
      </c>
      <c r="D100" s="115" t="s">
        <v>17</v>
      </c>
      <c r="E100" s="115" t="s">
        <v>17</v>
      </c>
      <c r="F100" s="115" t="s">
        <v>17</v>
      </c>
      <c r="G100" s="115" t="s">
        <v>17</v>
      </c>
      <c r="H100" s="115" t="s">
        <v>17</v>
      </c>
      <c r="I100" s="115" t="s">
        <v>17</v>
      </c>
      <c r="J100" s="344" t="s">
        <v>17</v>
      </c>
      <c r="K100" s="344" t="s">
        <v>17</v>
      </c>
      <c r="L100" s="344" t="s">
        <v>17</v>
      </c>
      <c r="M100" s="344" t="s">
        <v>17</v>
      </c>
      <c r="N100" s="344" t="s">
        <v>17</v>
      </c>
      <c r="O100" s="344" t="s">
        <v>17</v>
      </c>
      <c r="P100" s="344" t="s">
        <v>17</v>
      </c>
      <c r="Q100" s="344" t="s">
        <v>17</v>
      </c>
      <c r="R100" s="344" t="s">
        <v>17</v>
      </c>
      <c r="S100" s="344" t="s">
        <v>17</v>
      </c>
      <c r="T100" s="345">
        <v>27984.386469870497</v>
      </c>
      <c r="U100" s="345">
        <v>22267.779133494998</v>
      </c>
      <c r="V100" s="345">
        <v>22819.002492542997</v>
      </c>
      <c r="W100" s="345">
        <v>16043.139959033002</v>
      </c>
      <c r="X100" s="345">
        <v>13684.927273460002</v>
      </c>
      <c r="Y100" s="345">
        <f>AE100</f>
        <v>13580.211185537999</v>
      </c>
      <c r="Z100" s="345"/>
      <c r="AB100" s="345">
        <v>4637.0694355289997</v>
      </c>
      <c r="AC100" s="345">
        <v>6641.6856598229988</v>
      </c>
      <c r="AD100" s="345">
        <v>8621.3761800119992</v>
      </c>
      <c r="AE100" s="345">
        <v>13580.211185537999</v>
      </c>
      <c r="AF100" s="345">
        <v>5644.5624992840003</v>
      </c>
      <c r="AG100" s="261"/>
      <c r="AH100" s="261"/>
      <c r="AI100" s="261"/>
    </row>
    <row r="101" spans="2:35" x14ac:dyDescent="0.25">
      <c r="B101" s="113" t="s">
        <v>50</v>
      </c>
      <c r="C101" s="115" t="s">
        <v>17</v>
      </c>
      <c r="D101" s="115" t="s">
        <v>17</v>
      </c>
      <c r="E101" s="115" t="s">
        <v>17</v>
      </c>
      <c r="F101" s="115" t="s">
        <v>17</v>
      </c>
      <c r="G101" s="115" t="s">
        <v>17</v>
      </c>
      <c r="H101" s="115" t="s">
        <v>17</v>
      </c>
      <c r="I101" s="115" t="s">
        <v>17</v>
      </c>
      <c r="J101" s="344" t="s">
        <v>17</v>
      </c>
      <c r="K101" s="344" t="s">
        <v>17</v>
      </c>
      <c r="L101" s="344" t="s">
        <v>17</v>
      </c>
      <c r="M101" s="344" t="s">
        <v>17</v>
      </c>
      <c r="N101" s="344" t="s">
        <v>17</v>
      </c>
      <c r="O101" s="344" t="s">
        <v>17</v>
      </c>
      <c r="P101" s="344" t="s">
        <v>17</v>
      </c>
      <c r="Q101" s="344" t="s">
        <v>17</v>
      </c>
      <c r="R101" s="344" t="s">
        <v>17</v>
      </c>
      <c r="S101" s="344" t="s">
        <v>17</v>
      </c>
      <c r="T101" s="440">
        <v>14729.419426721832</v>
      </c>
      <c r="U101" s="440">
        <v>13760.002390524987</v>
      </c>
      <c r="V101" s="440">
        <v>11606.583858311998</v>
      </c>
      <c r="W101" s="440">
        <v>12549.998453532002</v>
      </c>
      <c r="X101" s="440">
        <v>16064.844867856002</v>
      </c>
      <c r="Y101" s="345">
        <f>AE101</f>
        <v>10944.662993409998</v>
      </c>
      <c r="Z101" s="345"/>
      <c r="AA101" s="333"/>
      <c r="AB101" s="440">
        <v>3228.9081187269999</v>
      </c>
      <c r="AC101" s="440">
        <v>5641.6549563850003</v>
      </c>
      <c r="AD101" s="440">
        <v>8148.0886411580004</v>
      </c>
      <c r="AE101" s="440">
        <v>10944.662993409998</v>
      </c>
      <c r="AF101" s="440">
        <v>1920.8408432129997</v>
      </c>
      <c r="AG101" s="261"/>
      <c r="AH101" s="261"/>
      <c r="AI101" s="261"/>
    </row>
    <row r="102" spans="2:35" x14ac:dyDescent="0.25">
      <c r="B102" s="113" t="s">
        <v>39</v>
      </c>
      <c r="C102" s="115" t="s">
        <v>17</v>
      </c>
      <c r="D102" s="115" t="s">
        <v>17</v>
      </c>
      <c r="E102" s="115" t="s">
        <v>17</v>
      </c>
      <c r="F102" s="115" t="s">
        <v>17</v>
      </c>
      <c r="G102" s="115" t="s">
        <v>17</v>
      </c>
      <c r="H102" s="115" t="s">
        <v>17</v>
      </c>
      <c r="I102" s="115" t="s">
        <v>17</v>
      </c>
      <c r="J102" s="344" t="s">
        <v>17</v>
      </c>
      <c r="K102" s="344" t="s">
        <v>17</v>
      </c>
      <c r="L102" s="344" t="s">
        <v>17</v>
      </c>
      <c r="M102" s="344" t="s">
        <v>17</v>
      </c>
      <c r="N102" s="344" t="s">
        <v>17</v>
      </c>
      <c r="O102" s="344" t="s">
        <v>17</v>
      </c>
      <c r="P102" s="344" t="s">
        <v>17</v>
      </c>
      <c r="Q102" s="344" t="s">
        <v>17</v>
      </c>
      <c r="R102" s="344" t="s">
        <v>17</v>
      </c>
      <c r="S102" s="344" t="s">
        <v>17</v>
      </c>
      <c r="T102" s="345">
        <v>10284.581392784989</v>
      </c>
      <c r="U102" s="345">
        <v>9593.2129231044692</v>
      </c>
      <c r="V102" s="345">
        <v>8221.8823306449995</v>
      </c>
      <c r="W102" s="345">
        <v>10782.437970526998</v>
      </c>
      <c r="X102" s="345">
        <v>8424.0626708839991</v>
      </c>
      <c r="Y102" s="345">
        <f>AE102</f>
        <v>8945.5535150410014</v>
      </c>
      <c r="Z102" s="345"/>
      <c r="AB102" s="345">
        <v>2885.678519694</v>
      </c>
      <c r="AC102" s="345">
        <v>4717.8327410479997</v>
      </c>
      <c r="AD102" s="345">
        <v>6754.1728724429995</v>
      </c>
      <c r="AE102" s="345">
        <v>8945.5535150410014</v>
      </c>
      <c r="AF102" s="345">
        <v>2757.240998452</v>
      </c>
      <c r="AG102" s="261"/>
      <c r="AH102" s="261"/>
      <c r="AI102" s="261"/>
    </row>
    <row r="103" spans="2:35" x14ac:dyDescent="0.25">
      <c r="B103" s="38" t="s">
        <v>53</v>
      </c>
      <c r="C103" s="115" t="s">
        <v>17</v>
      </c>
      <c r="D103" s="115" t="s">
        <v>17</v>
      </c>
      <c r="E103" s="115" t="s">
        <v>17</v>
      </c>
      <c r="F103" s="115" t="s">
        <v>17</v>
      </c>
      <c r="G103" s="115" t="s">
        <v>17</v>
      </c>
      <c r="H103" s="115" t="s">
        <v>17</v>
      </c>
      <c r="I103" s="115" t="s">
        <v>17</v>
      </c>
      <c r="J103" s="344" t="s">
        <v>17</v>
      </c>
      <c r="K103" s="344" t="s">
        <v>17</v>
      </c>
      <c r="L103" s="344" t="s">
        <v>17</v>
      </c>
      <c r="M103" s="344" t="s">
        <v>17</v>
      </c>
      <c r="N103" s="344" t="s">
        <v>17</v>
      </c>
      <c r="O103" s="344" t="s">
        <v>17</v>
      </c>
      <c r="P103" s="344" t="s">
        <v>17</v>
      </c>
      <c r="Q103" s="344" t="s">
        <v>17</v>
      </c>
      <c r="R103" s="344" t="s">
        <v>17</v>
      </c>
      <c r="S103" s="344" t="s">
        <v>17</v>
      </c>
      <c r="T103" s="345">
        <v>14873.033466917801</v>
      </c>
      <c r="U103" s="345">
        <v>15696.29876993773</v>
      </c>
      <c r="V103" s="345">
        <v>16633.008031118003</v>
      </c>
      <c r="W103" s="345">
        <v>15814.434253835998</v>
      </c>
      <c r="X103" s="345">
        <v>17028.570303209999</v>
      </c>
      <c r="Y103" s="345">
        <f>AE103</f>
        <v>15428.198363565001</v>
      </c>
      <c r="Z103" s="345"/>
      <c r="AB103" s="345">
        <v>4744.0355493589996</v>
      </c>
      <c r="AC103" s="345">
        <v>8403.9938256209989</v>
      </c>
      <c r="AD103" s="345">
        <v>11292.127389568999</v>
      </c>
      <c r="AE103" s="345">
        <v>15428.198363565001</v>
      </c>
      <c r="AF103" s="345">
        <v>4698.6038760000001</v>
      </c>
      <c r="AG103" s="261"/>
      <c r="AH103" s="261"/>
      <c r="AI103" s="261"/>
    </row>
    <row r="104" spans="2:35" x14ac:dyDescent="0.25">
      <c r="B104" s="38"/>
      <c r="C104" s="116"/>
      <c r="D104" s="116"/>
      <c r="E104" s="116"/>
      <c r="F104" s="116"/>
      <c r="G104" s="116"/>
      <c r="H104" s="116"/>
      <c r="I104" s="116"/>
      <c r="J104" s="334"/>
      <c r="K104" s="334"/>
      <c r="L104" s="334"/>
      <c r="M104" s="334"/>
      <c r="N104" s="334"/>
      <c r="O104" s="334"/>
      <c r="P104" s="334"/>
      <c r="Q104" s="334"/>
      <c r="R104" s="334"/>
      <c r="S104" s="334"/>
      <c r="T104" s="334"/>
      <c r="U104" s="334"/>
      <c r="AB104" s="253"/>
      <c r="AC104" s="253"/>
      <c r="AF104" s="345"/>
      <c r="AG104" s="345"/>
      <c r="AH104" s="345"/>
      <c r="AI104" s="345"/>
    </row>
    <row r="105" spans="2:35" ht="30" x14ac:dyDescent="0.55000000000000004">
      <c r="B105" s="178" t="s">
        <v>178</v>
      </c>
      <c r="C105" s="117"/>
      <c r="D105" s="117"/>
      <c r="E105" s="117"/>
      <c r="F105" s="117"/>
      <c r="G105" s="117"/>
      <c r="H105" s="117"/>
      <c r="I105" s="117"/>
      <c r="J105" s="442"/>
      <c r="K105" s="442"/>
      <c r="L105" s="442"/>
      <c r="M105" s="442"/>
      <c r="N105" s="442"/>
      <c r="O105" s="442"/>
      <c r="P105" s="442"/>
      <c r="Q105" s="442"/>
      <c r="R105" s="442"/>
      <c r="S105" s="442"/>
      <c r="T105" s="442"/>
      <c r="U105" s="442"/>
      <c r="AB105" s="253"/>
      <c r="AC105" s="253"/>
      <c r="AF105" s="345"/>
      <c r="AG105" s="345"/>
      <c r="AH105" s="345"/>
      <c r="AI105" s="345"/>
    </row>
    <row r="106" spans="2:35" x14ac:dyDescent="0.25">
      <c r="B106" s="174" t="s">
        <v>179</v>
      </c>
      <c r="C106" s="61">
        <v>2001</v>
      </c>
      <c r="D106" s="61">
        <v>2002</v>
      </c>
      <c r="E106" s="61">
        <v>2003</v>
      </c>
      <c r="F106" s="61">
        <v>2004</v>
      </c>
      <c r="G106" s="61">
        <v>2005</v>
      </c>
      <c r="H106" s="61">
        <v>2006</v>
      </c>
      <c r="I106" s="61">
        <v>2007</v>
      </c>
      <c r="J106" s="228">
        <v>2008</v>
      </c>
      <c r="K106" s="228">
        <v>2009</v>
      </c>
      <c r="L106" s="228">
        <v>2010</v>
      </c>
      <c r="M106" s="228">
        <v>2011</v>
      </c>
      <c r="N106" s="228">
        <v>2012</v>
      </c>
      <c r="O106" s="228">
        <v>2013</v>
      </c>
      <c r="P106" s="228">
        <v>2014</v>
      </c>
      <c r="Q106" s="228">
        <v>2015</v>
      </c>
      <c r="R106" s="228">
        <v>2016</v>
      </c>
      <c r="S106" s="228">
        <v>2017</v>
      </c>
      <c r="T106" s="228">
        <v>2018</v>
      </c>
      <c r="U106" s="228">
        <v>2019</v>
      </c>
      <c r="V106" s="228">
        <v>2020</v>
      </c>
      <c r="W106" s="228">
        <v>2021</v>
      </c>
      <c r="X106" s="228">
        <v>2022</v>
      </c>
      <c r="Y106" s="229">
        <v>2023</v>
      </c>
      <c r="Z106" s="230">
        <v>2024</v>
      </c>
      <c r="AB106" s="231" t="s">
        <v>291</v>
      </c>
      <c r="AC106" s="231" t="s">
        <v>292</v>
      </c>
      <c r="AD106" s="231" t="s">
        <v>293</v>
      </c>
      <c r="AE106" s="231">
        <v>2023</v>
      </c>
      <c r="AF106" s="232" t="s">
        <v>318</v>
      </c>
      <c r="AG106" s="232" t="s">
        <v>319</v>
      </c>
      <c r="AH106" s="232" t="s">
        <v>320</v>
      </c>
      <c r="AI106" s="232">
        <v>2024</v>
      </c>
    </row>
    <row r="107" spans="2:35" x14ac:dyDescent="0.25">
      <c r="B107" s="50" t="s">
        <v>125</v>
      </c>
      <c r="C107" s="104" t="s">
        <v>17</v>
      </c>
      <c r="D107" s="104" t="s">
        <v>17</v>
      </c>
      <c r="E107" s="104" t="s">
        <v>17</v>
      </c>
      <c r="F107" s="104" t="s">
        <v>17</v>
      </c>
      <c r="G107" s="104" t="s">
        <v>17</v>
      </c>
      <c r="H107" s="104" t="s">
        <v>17</v>
      </c>
      <c r="I107" s="104" t="s">
        <v>17</v>
      </c>
      <c r="J107" s="276" t="s">
        <v>17</v>
      </c>
      <c r="K107" s="276" t="s">
        <v>17</v>
      </c>
      <c r="L107" s="276" t="s">
        <v>17</v>
      </c>
      <c r="M107" s="276" t="s">
        <v>17</v>
      </c>
      <c r="N107" s="276" t="s">
        <v>17</v>
      </c>
      <c r="O107" s="276" t="s">
        <v>17</v>
      </c>
      <c r="P107" s="276" t="s">
        <v>17</v>
      </c>
      <c r="Q107" s="276" t="s">
        <v>17</v>
      </c>
      <c r="R107" s="276" t="s">
        <v>17</v>
      </c>
      <c r="S107" s="276" t="s">
        <v>17</v>
      </c>
      <c r="T107" s="260">
        <v>2995.7289300000002</v>
      </c>
      <c r="U107" s="260">
        <v>2973.9040199999999</v>
      </c>
      <c r="V107" s="261">
        <v>2906.1210799999999</v>
      </c>
      <c r="W107" s="261">
        <v>2833.1728400000002</v>
      </c>
      <c r="X107" s="261">
        <v>2935.1695199999999</v>
      </c>
      <c r="Y107" s="260">
        <f>AE107</f>
        <v>2938.9917681832003</v>
      </c>
      <c r="Z107" s="260"/>
      <c r="AB107" s="261">
        <v>2938.9917681832003</v>
      </c>
      <c r="AC107" s="261">
        <v>2938.9917681832003</v>
      </c>
      <c r="AD107" s="261">
        <v>2938.9917681832003</v>
      </c>
      <c r="AE107" s="261">
        <v>2938.9917681832003</v>
      </c>
      <c r="AF107" s="261">
        <v>2970.7629314344999</v>
      </c>
      <c r="AG107" s="261"/>
      <c r="AH107" s="261"/>
      <c r="AI107" s="261"/>
    </row>
    <row r="108" spans="2:35" x14ac:dyDescent="0.25">
      <c r="B108" s="41" t="s">
        <v>140</v>
      </c>
      <c r="C108" s="104" t="s">
        <v>17</v>
      </c>
      <c r="D108" s="104" t="s">
        <v>17</v>
      </c>
      <c r="E108" s="104" t="s">
        <v>17</v>
      </c>
      <c r="F108" s="104" t="s">
        <v>17</v>
      </c>
      <c r="G108" s="104" t="s">
        <v>17</v>
      </c>
      <c r="H108" s="104" t="s">
        <v>17</v>
      </c>
      <c r="I108" s="104" t="s">
        <v>17</v>
      </c>
      <c r="J108" s="276" t="s">
        <v>17</v>
      </c>
      <c r="K108" s="276" t="s">
        <v>17</v>
      </c>
      <c r="L108" s="276" t="s">
        <v>17</v>
      </c>
      <c r="M108" s="276" t="s">
        <v>17</v>
      </c>
      <c r="N108" s="276" t="s">
        <v>17</v>
      </c>
      <c r="O108" s="276" t="s">
        <v>17</v>
      </c>
      <c r="P108" s="276" t="s">
        <v>17</v>
      </c>
      <c r="Q108" s="276" t="s">
        <v>17</v>
      </c>
      <c r="R108" s="276" t="s">
        <v>17</v>
      </c>
      <c r="S108" s="276" t="s">
        <v>17</v>
      </c>
      <c r="T108" s="253">
        <v>1831.6085</v>
      </c>
      <c r="U108" s="253">
        <v>1816.4480000000001</v>
      </c>
      <c r="V108" s="345">
        <v>1754.29</v>
      </c>
      <c r="W108" s="345">
        <v>1677.6233999999999</v>
      </c>
      <c r="X108" s="345">
        <v>1696.1631</v>
      </c>
      <c r="Y108" s="253">
        <f>AE108</f>
        <v>1697.9858186104</v>
      </c>
      <c r="Z108" s="253"/>
      <c r="AB108" s="345">
        <v>1697.9858186104</v>
      </c>
      <c r="AC108" s="345">
        <v>1697.9858186104</v>
      </c>
      <c r="AD108" s="345">
        <v>1697.9858186104</v>
      </c>
      <c r="AE108" s="345">
        <v>1697.9858186104</v>
      </c>
      <c r="AF108" s="345">
        <v>1713.1373648563999</v>
      </c>
      <c r="AG108" s="345"/>
      <c r="AH108" s="345"/>
      <c r="AI108" s="345"/>
    </row>
    <row r="109" spans="2:35" x14ac:dyDescent="0.25">
      <c r="B109" s="41" t="s">
        <v>141</v>
      </c>
      <c r="C109" s="104" t="s">
        <v>17</v>
      </c>
      <c r="D109" s="104" t="s">
        <v>17</v>
      </c>
      <c r="E109" s="104" t="s">
        <v>17</v>
      </c>
      <c r="F109" s="104" t="s">
        <v>17</v>
      </c>
      <c r="G109" s="104" t="s">
        <v>17</v>
      </c>
      <c r="H109" s="104" t="s">
        <v>17</v>
      </c>
      <c r="I109" s="104" t="s">
        <v>17</v>
      </c>
      <c r="J109" s="276" t="s">
        <v>17</v>
      </c>
      <c r="K109" s="276" t="s">
        <v>17</v>
      </c>
      <c r="L109" s="276" t="s">
        <v>17</v>
      </c>
      <c r="M109" s="276" t="s">
        <v>17</v>
      </c>
      <c r="N109" s="276" t="s">
        <v>17</v>
      </c>
      <c r="O109" s="276" t="s">
        <v>17</v>
      </c>
      <c r="P109" s="276" t="s">
        <v>17</v>
      </c>
      <c r="Q109" s="276" t="s">
        <v>17</v>
      </c>
      <c r="R109" s="276" t="s">
        <v>17</v>
      </c>
      <c r="S109" s="276" t="s">
        <v>17</v>
      </c>
      <c r="T109" s="253">
        <v>1164.1204299999999</v>
      </c>
      <c r="U109" s="253">
        <v>1157.4560200000001</v>
      </c>
      <c r="V109" s="345">
        <v>1151.8310799999999</v>
      </c>
      <c r="W109" s="345">
        <v>1155.54944</v>
      </c>
      <c r="X109" s="345">
        <v>1239.0064199999999</v>
      </c>
      <c r="Y109" s="253">
        <f>AE109</f>
        <v>1241.0059495728001</v>
      </c>
      <c r="Z109" s="253"/>
      <c r="AB109" s="345">
        <v>1241.0059495728001</v>
      </c>
      <c r="AC109" s="345">
        <v>1241.0059495728001</v>
      </c>
      <c r="AD109" s="345">
        <v>1241.0059495728001</v>
      </c>
      <c r="AE109" s="345">
        <v>1241.0059495728001</v>
      </c>
      <c r="AF109" s="345">
        <v>1257.6255665781</v>
      </c>
      <c r="AG109" s="345"/>
      <c r="AH109" s="345"/>
      <c r="AI109" s="345"/>
    </row>
    <row r="110" spans="2:35" x14ac:dyDescent="0.25">
      <c r="B110" s="41"/>
      <c r="C110" s="25"/>
      <c r="D110" s="25"/>
      <c r="E110" s="25"/>
      <c r="F110" s="25"/>
      <c r="G110" s="25"/>
      <c r="H110" s="25"/>
      <c r="I110" s="25"/>
      <c r="J110" s="253"/>
      <c r="K110" s="253"/>
      <c r="L110" s="253"/>
      <c r="M110" s="253"/>
      <c r="N110" s="253"/>
      <c r="O110" s="253"/>
      <c r="P110" s="253"/>
      <c r="Q110" s="253"/>
      <c r="R110" s="253"/>
      <c r="S110" s="253"/>
      <c r="T110" s="253"/>
      <c r="U110" s="253"/>
      <c r="V110" s="345"/>
      <c r="W110" s="345"/>
      <c r="X110" s="345"/>
      <c r="Y110" s="253"/>
      <c r="Z110" s="253"/>
      <c r="AB110" s="345"/>
      <c r="AF110" s="345"/>
    </row>
    <row r="111" spans="2:35" x14ac:dyDescent="0.25">
      <c r="B111" s="34" t="s">
        <v>180</v>
      </c>
      <c r="C111" s="104" t="s">
        <v>17</v>
      </c>
      <c r="D111" s="104" t="s">
        <v>17</v>
      </c>
      <c r="E111" s="104" t="s">
        <v>17</v>
      </c>
      <c r="F111" s="104" t="s">
        <v>17</v>
      </c>
      <c r="G111" s="104" t="s">
        <v>17</v>
      </c>
      <c r="H111" s="104" t="s">
        <v>17</v>
      </c>
      <c r="I111" s="104" t="s">
        <v>17</v>
      </c>
      <c r="J111" s="276" t="s">
        <v>17</v>
      </c>
      <c r="K111" s="276" t="s">
        <v>17</v>
      </c>
      <c r="L111" s="276" t="s">
        <v>17</v>
      </c>
      <c r="M111" s="276" t="s">
        <v>17</v>
      </c>
      <c r="N111" s="276" t="s">
        <v>17</v>
      </c>
      <c r="O111" s="276" t="s">
        <v>17</v>
      </c>
      <c r="P111" s="276" t="s">
        <v>17</v>
      </c>
      <c r="Q111" s="276" t="s">
        <v>17</v>
      </c>
      <c r="R111" s="276" t="s">
        <v>17</v>
      </c>
      <c r="S111" s="276" t="s">
        <v>17</v>
      </c>
      <c r="T111" s="260">
        <v>950</v>
      </c>
      <c r="U111" s="260">
        <v>950</v>
      </c>
      <c r="V111" s="261">
        <v>1706</v>
      </c>
      <c r="W111" s="261">
        <v>1890.6</v>
      </c>
      <c r="X111" s="261">
        <v>1890.6</v>
      </c>
      <c r="Y111" s="260">
        <f>AE111</f>
        <v>1867.431</v>
      </c>
      <c r="Z111" s="260"/>
      <c r="AB111" s="261">
        <v>1867.4</v>
      </c>
      <c r="AC111" s="261">
        <v>1867.4</v>
      </c>
      <c r="AD111" s="261">
        <v>1867.4</v>
      </c>
      <c r="AE111" s="261">
        <v>1867.431</v>
      </c>
      <c r="AF111" s="261">
        <v>1894.2</v>
      </c>
      <c r="AG111" s="261"/>
      <c r="AH111" s="261"/>
      <c r="AI111" s="261"/>
    </row>
    <row r="112" spans="2:35" x14ac:dyDescent="0.25">
      <c r="B112" s="34"/>
      <c r="C112" s="26"/>
      <c r="D112" s="26"/>
      <c r="E112" s="26"/>
      <c r="F112" s="26"/>
      <c r="G112" s="26"/>
      <c r="H112" s="26"/>
      <c r="I112" s="26"/>
      <c r="J112" s="260"/>
      <c r="K112" s="260"/>
      <c r="L112" s="260"/>
      <c r="M112" s="260"/>
      <c r="N112" s="260"/>
      <c r="O112" s="260"/>
      <c r="P112" s="260"/>
      <c r="Q112" s="260"/>
      <c r="R112" s="260"/>
      <c r="S112" s="260"/>
      <c r="T112" s="260"/>
      <c r="U112" s="260"/>
      <c r="V112" s="345"/>
      <c r="W112" s="345"/>
      <c r="X112" s="345"/>
      <c r="Y112" s="260"/>
      <c r="Z112" s="260"/>
      <c r="AB112" s="345"/>
      <c r="AC112" s="345"/>
      <c r="AD112" s="345"/>
      <c r="AE112" s="345"/>
      <c r="AF112" s="345"/>
      <c r="AG112" s="345"/>
      <c r="AH112" s="345"/>
      <c r="AI112" s="345"/>
    </row>
    <row r="113" spans="1:35" x14ac:dyDescent="0.25">
      <c r="B113" s="34" t="s">
        <v>181</v>
      </c>
      <c r="C113" s="104" t="s">
        <v>17</v>
      </c>
      <c r="D113" s="104" t="s">
        <v>17</v>
      </c>
      <c r="E113" s="104" t="s">
        <v>17</v>
      </c>
      <c r="F113" s="104" t="s">
        <v>17</v>
      </c>
      <c r="G113" s="104" t="s">
        <v>17</v>
      </c>
      <c r="H113" s="104" t="s">
        <v>17</v>
      </c>
      <c r="I113" s="104" t="s">
        <v>17</v>
      </c>
      <c r="J113" s="276" t="s">
        <v>17</v>
      </c>
      <c r="K113" s="276" t="s">
        <v>17</v>
      </c>
      <c r="L113" s="276" t="s">
        <v>17</v>
      </c>
      <c r="M113" s="276" t="s">
        <v>17</v>
      </c>
      <c r="N113" s="276" t="s">
        <v>17</v>
      </c>
      <c r="O113" s="276" t="s">
        <v>17</v>
      </c>
      <c r="P113" s="276" t="s">
        <v>17</v>
      </c>
      <c r="Q113" s="276" t="s">
        <v>17</v>
      </c>
      <c r="R113" s="276" t="s">
        <v>17</v>
      </c>
      <c r="S113" s="276" t="s">
        <v>17</v>
      </c>
      <c r="T113" s="260">
        <v>4695.9835000000003</v>
      </c>
      <c r="U113" s="260">
        <v>7811.0614821200006</v>
      </c>
      <c r="V113" s="261">
        <v>9116.9209323576688</v>
      </c>
      <c r="W113" s="261">
        <v>9321.4048944976657</v>
      </c>
      <c r="X113" s="261">
        <v>11703.07412451</v>
      </c>
      <c r="Y113" s="260">
        <f>AE113</f>
        <v>15240.281468070983</v>
      </c>
      <c r="Z113" s="260"/>
      <c r="AB113" s="261">
        <v>12846.572120390983</v>
      </c>
      <c r="AC113" s="261">
        <v>13010.242599330984</v>
      </c>
      <c r="AD113" s="261">
        <v>13366.255855570984</v>
      </c>
      <c r="AE113" s="261">
        <v>15240.281468070983</v>
      </c>
      <c r="AF113" s="261">
        <v>12824.019762600983</v>
      </c>
      <c r="AG113" s="261"/>
      <c r="AH113" s="261"/>
      <c r="AI113" s="261"/>
    </row>
    <row r="114" spans="1:35" x14ac:dyDescent="0.25">
      <c r="B114" s="6" t="s">
        <v>123</v>
      </c>
      <c r="C114" s="104" t="s">
        <v>17</v>
      </c>
      <c r="D114" s="104" t="s">
        <v>17</v>
      </c>
      <c r="E114" s="104" t="s">
        <v>17</v>
      </c>
      <c r="F114" s="104" t="s">
        <v>17</v>
      </c>
      <c r="G114" s="104" t="s">
        <v>17</v>
      </c>
      <c r="H114" s="104" t="s">
        <v>17</v>
      </c>
      <c r="I114" s="104" t="s">
        <v>17</v>
      </c>
      <c r="J114" s="276" t="s">
        <v>17</v>
      </c>
      <c r="K114" s="276" t="s">
        <v>17</v>
      </c>
      <c r="L114" s="276" t="s">
        <v>17</v>
      </c>
      <c r="M114" s="276" t="s">
        <v>17</v>
      </c>
      <c r="N114" s="276" t="s">
        <v>17</v>
      </c>
      <c r="O114" s="276" t="s">
        <v>17</v>
      </c>
      <c r="P114" s="276" t="s">
        <v>17</v>
      </c>
      <c r="Q114" s="276" t="s">
        <v>17</v>
      </c>
      <c r="R114" s="276" t="s">
        <v>17</v>
      </c>
      <c r="S114" s="276" t="s">
        <v>17</v>
      </c>
      <c r="T114" s="253">
        <f>T115+T116</f>
        <v>3682</v>
      </c>
      <c r="U114" s="260">
        <v>4997.1190000000006</v>
      </c>
      <c r="V114" s="261">
        <v>5003.61885968767</v>
      </c>
      <c r="W114" s="261">
        <v>5003.6188596876655</v>
      </c>
      <c r="X114" s="261">
        <v>5241.79774877</v>
      </c>
      <c r="Y114" s="260">
        <f>AE114</f>
        <v>7940.7428943909836</v>
      </c>
      <c r="Z114" s="260"/>
      <c r="AB114" s="261">
        <v>6210.398913690984</v>
      </c>
      <c r="AC114" s="261">
        <v>6210.398913690984</v>
      </c>
      <c r="AD114" s="261">
        <v>6210.398913690984</v>
      </c>
      <c r="AE114" s="261">
        <v>7940.7428943909836</v>
      </c>
      <c r="AF114" s="261">
        <v>7940.7428943909836</v>
      </c>
      <c r="AG114" s="261"/>
      <c r="AH114" s="261"/>
      <c r="AI114" s="261"/>
    </row>
    <row r="115" spans="1:35" s="333" customFormat="1" x14ac:dyDescent="0.25">
      <c r="A115" s="209"/>
      <c r="B115" s="474" t="s">
        <v>136</v>
      </c>
      <c r="C115" s="475" t="s">
        <v>17</v>
      </c>
      <c r="D115" s="475" t="s">
        <v>17</v>
      </c>
      <c r="E115" s="475" t="s">
        <v>17</v>
      </c>
      <c r="F115" s="475" t="s">
        <v>17</v>
      </c>
      <c r="G115" s="475" t="s">
        <v>17</v>
      </c>
      <c r="H115" s="475" t="s">
        <v>17</v>
      </c>
      <c r="I115" s="475" t="s">
        <v>17</v>
      </c>
      <c r="J115" s="476" t="s">
        <v>17</v>
      </c>
      <c r="K115" s="476" t="s">
        <v>17</v>
      </c>
      <c r="L115" s="476" t="s">
        <v>17</v>
      </c>
      <c r="M115" s="476" t="s">
        <v>17</v>
      </c>
      <c r="N115" s="476" t="s">
        <v>17</v>
      </c>
      <c r="O115" s="476" t="s">
        <v>17</v>
      </c>
      <c r="P115" s="476" t="s">
        <v>17</v>
      </c>
      <c r="Q115" s="476" t="s">
        <v>17</v>
      </c>
      <c r="R115" s="476" t="s">
        <v>17</v>
      </c>
      <c r="S115" s="476" t="s">
        <v>17</v>
      </c>
      <c r="T115" s="473">
        <v>2015</v>
      </c>
      <c r="U115" s="473">
        <v>2581</v>
      </c>
      <c r="V115" s="440">
        <v>2580.5536089653801</v>
      </c>
      <c r="W115" s="440">
        <v>2580.553608965377</v>
      </c>
      <c r="X115" s="440">
        <v>2628.4967487700028</v>
      </c>
      <c r="Y115" s="473">
        <f>AE115</f>
        <v>3787.3336626909845</v>
      </c>
      <c r="Z115" s="473"/>
      <c r="AB115" s="440">
        <v>3787.3336626909845</v>
      </c>
      <c r="AC115" s="440">
        <v>3787.3336626909845</v>
      </c>
      <c r="AD115" s="440">
        <v>3787.3336626909845</v>
      </c>
      <c r="AE115" s="440">
        <v>3787.3336626909845</v>
      </c>
      <c r="AF115" s="440">
        <v>3787.3336626909845</v>
      </c>
      <c r="AG115" s="440"/>
      <c r="AH115" s="440"/>
      <c r="AI115" s="440"/>
    </row>
    <row r="116" spans="1:35" s="333" customFormat="1" x14ac:dyDescent="0.25">
      <c r="A116" s="209"/>
      <c r="B116" s="474" t="s">
        <v>133</v>
      </c>
      <c r="C116" s="475" t="s">
        <v>17</v>
      </c>
      <c r="D116" s="475" t="s">
        <v>17</v>
      </c>
      <c r="E116" s="475" t="s">
        <v>17</v>
      </c>
      <c r="F116" s="475" t="s">
        <v>17</v>
      </c>
      <c r="G116" s="475" t="s">
        <v>17</v>
      </c>
      <c r="H116" s="475" t="s">
        <v>17</v>
      </c>
      <c r="I116" s="475" t="s">
        <v>17</v>
      </c>
      <c r="J116" s="476" t="s">
        <v>17</v>
      </c>
      <c r="K116" s="476" t="s">
        <v>17</v>
      </c>
      <c r="L116" s="476" t="s">
        <v>17</v>
      </c>
      <c r="M116" s="476" t="s">
        <v>17</v>
      </c>
      <c r="N116" s="476" t="s">
        <v>17</v>
      </c>
      <c r="O116" s="476" t="s">
        <v>17</v>
      </c>
      <c r="P116" s="476" t="s">
        <v>17</v>
      </c>
      <c r="Q116" s="476" t="s">
        <v>17</v>
      </c>
      <c r="R116" s="476" t="s">
        <v>17</v>
      </c>
      <c r="S116" s="476" t="s">
        <v>17</v>
      </c>
      <c r="T116" s="473">
        <v>1667</v>
      </c>
      <c r="U116" s="473">
        <v>2423</v>
      </c>
      <c r="V116" s="440">
        <v>2423.0652507222899</v>
      </c>
      <c r="W116" s="440">
        <v>2423.0652507222881</v>
      </c>
      <c r="X116" s="440">
        <v>2613.3009999999999</v>
      </c>
      <c r="Y116" s="473">
        <f>AE116</f>
        <v>4153.4092316999995</v>
      </c>
      <c r="Z116" s="473"/>
      <c r="AB116" s="440">
        <v>2423.065251</v>
      </c>
      <c r="AC116" s="440">
        <v>2423.065251</v>
      </c>
      <c r="AD116" s="440">
        <v>2423.065251</v>
      </c>
      <c r="AE116" s="440">
        <v>4153.4092316999995</v>
      </c>
      <c r="AF116" s="440">
        <v>4153.4092316999995</v>
      </c>
      <c r="AG116" s="440"/>
      <c r="AH116" s="440"/>
      <c r="AI116" s="440"/>
    </row>
    <row r="117" spans="1:35" x14ac:dyDescent="0.25">
      <c r="B117" s="6" t="s">
        <v>182</v>
      </c>
      <c r="C117" s="104" t="s">
        <v>17</v>
      </c>
      <c r="D117" s="104" t="s">
        <v>17</v>
      </c>
      <c r="E117" s="104" t="s">
        <v>17</v>
      </c>
      <c r="F117" s="104" t="s">
        <v>17</v>
      </c>
      <c r="G117" s="104" t="s">
        <v>17</v>
      </c>
      <c r="H117" s="104" t="s">
        <v>17</v>
      </c>
      <c r="I117" s="104" t="s">
        <v>17</v>
      </c>
      <c r="J117" s="276" t="s">
        <v>17</v>
      </c>
      <c r="K117" s="276" t="s">
        <v>17</v>
      </c>
      <c r="L117" s="276" t="s">
        <v>17</v>
      </c>
      <c r="M117" s="276" t="s">
        <v>17</v>
      </c>
      <c r="N117" s="276" t="s">
        <v>17</v>
      </c>
      <c r="O117" s="276" t="s">
        <v>17</v>
      </c>
      <c r="P117" s="276" t="s">
        <v>17</v>
      </c>
      <c r="Q117" s="276" t="s">
        <v>17</v>
      </c>
      <c r="R117" s="276" t="s">
        <v>17</v>
      </c>
      <c r="S117" s="276" t="s">
        <v>17</v>
      </c>
      <c r="T117" s="242" t="s">
        <v>17</v>
      </c>
      <c r="U117" s="260">
        <v>2813.94248212</v>
      </c>
      <c r="V117" s="261">
        <v>4113.3020726699997</v>
      </c>
      <c r="W117" s="261">
        <v>4317.7860348100003</v>
      </c>
      <c r="X117" s="261">
        <v>6461.2763757399998</v>
      </c>
      <c r="Y117" s="260">
        <f>AE117</f>
        <v>7299.5385736799999</v>
      </c>
      <c r="Z117" s="260"/>
      <c r="AB117" s="441">
        <v>6637</v>
      </c>
      <c r="AC117" s="261">
        <v>6799.8436856399994</v>
      </c>
      <c r="AD117" s="261">
        <v>7155.8569418799989</v>
      </c>
      <c r="AE117" s="261">
        <v>7299.5385736799999</v>
      </c>
      <c r="AF117" s="261">
        <v>4883.2768682100004</v>
      </c>
      <c r="AG117" s="261"/>
      <c r="AH117" s="261"/>
      <c r="AI117" s="261"/>
    </row>
    <row r="118" spans="1:35" x14ac:dyDescent="0.25">
      <c r="B118" s="6"/>
      <c r="C118" s="26"/>
      <c r="D118" s="26"/>
      <c r="E118" s="26"/>
      <c r="F118" s="26"/>
      <c r="G118" s="26"/>
      <c r="H118" s="26"/>
      <c r="I118" s="26"/>
      <c r="J118" s="260"/>
      <c r="K118" s="260"/>
      <c r="L118" s="260"/>
      <c r="M118" s="260"/>
      <c r="N118" s="260"/>
      <c r="O118" s="260"/>
      <c r="P118" s="260"/>
      <c r="Q118" s="260"/>
      <c r="R118" s="260"/>
      <c r="S118" s="260"/>
      <c r="T118" s="260"/>
      <c r="U118" s="260"/>
      <c r="V118" s="345"/>
      <c r="W118" s="345"/>
      <c r="X118" s="345"/>
      <c r="Y118" s="260"/>
      <c r="Z118" s="260"/>
      <c r="AB118" s="345"/>
      <c r="AC118" s="345"/>
      <c r="AD118" s="345"/>
      <c r="AE118" s="345"/>
      <c r="AF118" s="345"/>
      <c r="AG118" s="345"/>
      <c r="AH118" s="345"/>
      <c r="AI118" s="345"/>
    </row>
    <row r="119" spans="1:35" x14ac:dyDescent="0.25">
      <c r="B119" s="40" t="s">
        <v>183</v>
      </c>
      <c r="C119" s="104" t="s">
        <v>17</v>
      </c>
      <c r="D119" s="104" t="s">
        <v>17</v>
      </c>
      <c r="E119" s="104" t="s">
        <v>17</v>
      </c>
      <c r="F119" s="104" t="s">
        <v>17</v>
      </c>
      <c r="G119" s="104" t="s">
        <v>17</v>
      </c>
      <c r="H119" s="104" t="s">
        <v>17</v>
      </c>
      <c r="I119" s="104" t="s">
        <v>17</v>
      </c>
      <c r="J119" s="276" t="s">
        <v>17</v>
      </c>
      <c r="K119" s="276" t="s">
        <v>17</v>
      </c>
      <c r="L119" s="276" t="s">
        <v>17</v>
      </c>
      <c r="M119" s="276" t="s">
        <v>17</v>
      </c>
      <c r="N119" s="276" t="s">
        <v>17</v>
      </c>
      <c r="O119" s="276" t="s">
        <v>17</v>
      </c>
      <c r="P119" s="276" t="s">
        <v>17</v>
      </c>
      <c r="Q119" s="276" t="s">
        <v>17</v>
      </c>
      <c r="R119" s="276" t="s">
        <v>17</v>
      </c>
      <c r="S119" s="276" t="s">
        <v>17</v>
      </c>
      <c r="T119" s="260">
        <v>5002.4308876957693</v>
      </c>
      <c r="U119" s="260">
        <v>5653.6605321952302</v>
      </c>
      <c r="V119" s="261">
        <v>6042.5628988370081</v>
      </c>
      <c r="W119" s="261">
        <v>6222.6359097315253</v>
      </c>
      <c r="X119" s="261">
        <v>6977.1078753294314</v>
      </c>
      <c r="Y119" s="260">
        <f>AE119</f>
        <v>7628.1698654516886</v>
      </c>
      <c r="Z119" s="260"/>
      <c r="AB119" s="261">
        <v>7110.7561067210299</v>
      </c>
      <c r="AC119" s="261">
        <v>7179.3600954524736</v>
      </c>
      <c r="AD119" s="261">
        <v>7270.4375661071044</v>
      </c>
      <c r="AE119" s="261">
        <v>7628.1698654516886</v>
      </c>
      <c r="AF119" s="261">
        <v>7250.7263164228898</v>
      </c>
      <c r="AG119" s="261"/>
      <c r="AH119" s="261"/>
      <c r="AI119" s="261"/>
    </row>
    <row r="120" spans="1:35" x14ac:dyDescent="0.25">
      <c r="B120" s="40"/>
      <c r="C120" s="118"/>
      <c r="D120" s="118"/>
      <c r="E120" s="118"/>
      <c r="F120" s="118"/>
      <c r="G120" s="118"/>
      <c r="H120" s="118"/>
      <c r="I120" s="118"/>
      <c r="J120" s="371"/>
      <c r="K120" s="371"/>
      <c r="L120" s="371"/>
      <c r="M120" s="371"/>
      <c r="N120" s="371"/>
      <c r="O120" s="371"/>
      <c r="P120" s="371"/>
      <c r="Q120" s="371"/>
      <c r="R120" s="371"/>
      <c r="S120" s="371"/>
      <c r="T120" s="371"/>
      <c r="U120" s="371"/>
      <c r="V120" s="292"/>
      <c r="AB120" s="253"/>
      <c r="AC120" s="253"/>
      <c r="AD120" s="292"/>
    </row>
    <row r="121" spans="1:35" x14ac:dyDescent="0.25">
      <c r="B121" s="176" t="s">
        <v>126</v>
      </c>
      <c r="C121" s="61">
        <v>2001</v>
      </c>
      <c r="D121" s="61">
        <v>2002</v>
      </c>
      <c r="E121" s="61">
        <v>2003</v>
      </c>
      <c r="F121" s="61">
        <v>2004</v>
      </c>
      <c r="G121" s="61">
        <v>2005</v>
      </c>
      <c r="H121" s="61">
        <v>2006</v>
      </c>
      <c r="I121" s="61">
        <v>2007</v>
      </c>
      <c r="J121" s="228">
        <v>2008</v>
      </c>
      <c r="K121" s="228">
        <v>2009</v>
      </c>
      <c r="L121" s="228">
        <v>2010</v>
      </c>
      <c r="M121" s="228">
        <v>2011</v>
      </c>
      <c r="N121" s="228">
        <v>2012</v>
      </c>
      <c r="O121" s="228">
        <v>2013</v>
      </c>
      <c r="P121" s="228">
        <v>2014</v>
      </c>
      <c r="Q121" s="228">
        <v>2015</v>
      </c>
      <c r="R121" s="228">
        <v>2016</v>
      </c>
      <c r="S121" s="228">
        <v>2017</v>
      </c>
      <c r="T121" s="228">
        <v>2018</v>
      </c>
      <c r="U121" s="228">
        <v>2019</v>
      </c>
      <c r="V121" s="228">
        <v>2020</v>
      </c>
      <c r="W121" s="228">
        <v>2021</v>
      </c>
      <c r="X121" s="228">
        <v>2022</v>
      </c>
      <c r="Y121" s="229">
        <v>2023</v>
      </c>
      <c r="Z121" s="230">
        <v>2024</v>
      </c>
      <c r="AB121" s="231" t="s">
        <v>291</v>
      </c>
      <c r="AC121" s="231" t="s">
        <v>292</v>
      </c>
      <c r="AD121" s="231" t="s">
        <v>293</v>
      </c>
      <c r="AE121" s="231">
        <v>2023</v>
      </c>
      <c r="AF121" s="232" t="s">
        <v>318</v>
      </c>
      <c r="AG121" s="232" t="s">
        <v>319</v>
      </c>
      <c r="AH121" s="232" t="s">
        <v>320</v>
      </c>
      <c r="AI121" s="232">
        <v>2024</v>
      </c>
    </row>
    <row r="122" spans="1:35" x14ac:dyDescent="0.25">
      <c r="B122" s="34" t="s">
        <v>127</v>
      </c>
      <c r="C122" s="26">
        <f t="shared" ref="C122:O122" si="69">SUM(C123:C125)</f>
        <v>0</v>
      </c>
      <c r="D122" s="26">
        <f t="shared" si="69"/>
        <v>0</v>
      </c>
      <c r="E122" s="26">
        <f t="shared" si="69"/>
        <v>0</v>
      </c>
      <c r="F122" s="26">
        <f t="shared" si="69"/>
        <v>0</v>
      </c>
      <c r="G122" s="26">
        <f t="shared" si="69"/>
        <v>0</v>
      </c>
      <c r="H122" s="26">
        <f t="shared" si="69"/>
        <v>0</v>
      </c>
      <c r="I122" s="26">
        <f t="shared" si="69"/>
        <v>0</v>
      </c>
      <c r="J122" s="260">
        <f t="shared" si="69"/>
        <v>0</v>
      </c>
      <c r="K122" s="260">
        <f t="shared" si="69"/>
        <v>0</v>
      </c>
      <c r="L122" s="260">
        <f t="shared" si="69"/>
        <v>327218.85782400001</v>
      </c>
      <c r="M122" s="260">
        <f t="shared" si="69"/>
        <v>331027.30147021002</v>
      </c>
      <c r="N122" s="260">
        <f t="shared" si="69"/>
        <v>333921.34109600022</v>
      </c>
      <c r="O122" s="260">
        <f t="shared" si="69"/>
        <v>334011.080831</v>
      </c>
      <c r="P122" s="260">
        <f>SUM(P123:P125)</f>
        <v>336439.72269999998</v>
      </c>
      <c r="Q122" s="260">
        <f>Q123+Q124+Q125</f>
        <v>335803</v>
      </c>
      <c r="R122" s="260">
        <f>R123+R124+R125</f>
        <v>337492</v>
      </c>
      <c r="S122" s="260">
        <f>S123+S124+S125</f>
        <v>338178.8</v>
      </c>
      <c r="T122" s="260">
        <v>339176.79271471</v>
      </c>
      <c r="U122" s="260">
        <v>340743.86855800997</v>
      </c>
      <c r="V122" s="261">
        <v>375006.69482664997</v>
      </c>
      <c r="W122" s="261">
        <v>378316.74136099999</v>
      </c>
      <c r="X122" s="261">
        <v>382973.24617399997</v>
      </c>
      <c r="Y122" s="260">
        <f t="shared" ref="Y122:Y127" si="70">AE122</f>
        <v>386701.18458600005</v>
      </c>
      <c r="Z122" s="260"/>
      <c r="AB122" s="261">
        <v>383481.44003699999</v>
      </c>
      <c r="AC122" s="261">
        <v>383834.07565199997</v>
      </c>
      <c r="AD122" s="261">
        <v>385096.41690100002</v>
      </c>
      <c r="AE122" s="261">
        <v>386701.18458600005</v>
      </c>
      <c r="AF122" s="261">
        <v>386296.68632899999</v>
      </c>
      <c r="AG122" s="261"/>
      <c r="AH122" s="261"/>
      <c r="AI122" s="261"/>
    </row>
    <row r="123" spans="1:35" x14ac:dyDescent="0.25">
      <c r="B123" s="35" t="s">
        <v>51</v>
      </c>
      <c r="C123" s="103" t="s">
        <v>17</v>
      </c>
      <c r="D123" s="103" t="s">
        <v>17</v>
      </c>
      <c r="E123" s="103" t="s">
        <v>17</v>
      </c>
      <c r="F123" s="103" t="s">
        <v>17</v>
      </c>
      <c r="G123" s="103" t="s">
        <v>17</v>
      </c>
      <c r="H123" s="103" t="s">
        <v>17</v>
      </c>
      <c r="I123" s="103" t="s">
        <v>17</v>
      </c>
      <c r="J123" s="268" t="s">
        <v>17</v>
      </c>
      <c r="K123" s="268" t="s">
        <v>17</v>
      </c>
      <c r="L123" s="253">
        <v>220318</v>
      </c>
      <c r="M123" s="253">
        <v>222626.615055</v>
      </c>
      <c r="N123" s="253">
        <v>223734.43239600019</v>
      </c>
      <c r="O123" s="253">
        <v>222475.62729999999</v>
      </c>
      <c r="P123" s="253">
        <v>223523.3579</v>
      </c>
      <c r="Q123" s="253">
        <v>224849</v>
      </c>
      <c r="R123" s="253">
        <v>225396.5</v>
      </c>
      <c r="S123" s="253">
        <v>226027.4</v>
      </c>
      <c r="T123" s="253">
        <v>226307.95253800001</v>
      </c>
      <c r="U123" s="253">
        <v>226822.67702099998</v>
      </c>
      <c r="V123" s="345">
        <v>228349.13084600001</v>
      </c>
      <c r="W123" s="345">
        <v>230675.76</v>
      </c>
      <c r="X123" s="345">
        <v>232089.07</v>
      </c>
      <c r="Y123" s="253">
        <f t="shared" si="70"/>
        <v>234668.49000000002</v>
      </c>
      <c r="Z123" s="253"/>
      <c r="AB123" s="345">
        <v>232328.33979900001</v>
      </c>
      <c r="AC123" s="345">
        <v>232405.74749599997</v>
      </c>
      <c r="AD123" s="345">
        <v>233374.68000000002</v>
      </c>
      <c r="AE123" s="345">
        <v>234668.49000000002</v>
      </c>
      <c r="AF123" s="345">
        <v>234773.65</v>
      </c>
      <c r="AG123" s="345"/>
      <c r="AH123" s="345"/>
      <c r="AI123" s="345"/>
    </row>
    <row r="124" spans="1:35" x14ac:dyDescent="0.25">
      <c r="B124" s="35" t="s">
        <v>50</v>
      </c>
      <c r="C124" s="103" t="s">
        <v>17</v>
      </c>
      <c r="D124" s="103" t="s">
        <v>17</v>
      </c>
      <c r="E124" s="103" t="s">
        <v>17</v>
      </c>
      <c r="F124" s="103" t="s">
        <v>17</v>
      </c>
      <c r="G124" s="103" t="s">
        <v>17</v>
      </c>
      <c r="H124" s="103" t="s">
        <v>17</v>
      </c>
      <c r="I124" s="103" t="s">
        <v>17</v>
      </c>
      <c r="J124" s="268" t="s">
        <v>17</v>
      </c>
      <c r="K124" s="268" t="s">
        <v>17</v>
      </c>
      <c r="L124" s="253">
        <v>22265</v>
      </c>
      <c r="M124" s="253">
        <v>22652</v>
      </c>
      <c r="N124" s="253">
        <v>22986.379999999997</v>
      </c>
      <c r="O124" s="253">
        <v>23293.489999999998</v>
      </c>
      <c r="P124" s="253">
        <v>23394.86</v>
      </c>
      <c r="Q124" s="253">
        <v>20396</v>
      </c>
      <c r="R124" s="253">
        <v>20519.5</v>
      </c>
      <c r="S124" s="253">
        <v>20613.400000000001</v>
      </c>
      <c r="T124" s="253">
        <v>20708.8619119</v>
      </c>
      <c r="U124" s="253">
        <v>20766.2411565</v>
      </c>
      <c r="V124" s="345">
        <v>52491.503800000006</v>
      </c>
      <c r="W124" s="345">
        <v>52493.235000000001</v>
      </c>
      <c r="X124" s="345">
        <v>52644.083999999988</v>
      </c>
      <c r="Y124" s="253">
        <f t="shared" si="70"/>
        <v>52847.952899999997</v>
      </c>
      <c r="Z124" s="253"/>
      <c r="AB124" s="345">
        <v>52683.419000000002</v>
      </c>
      <c r="AC124" s="345">
        <v>52728.525999999991</v>
      </c>
      <c r="AD124" s="345">
        <v>52759.008999999991</v>
      </c>
      <c r="AE124" s="345">
        <v>52847.952899999997</v>
      </c>
      <c r="AF124" s="345">
        <v>52902.809899999993</v>
      </c>
      <c r="AG124" s="345"/>
      <c r="AH124" s="345"/>
      <c r="AI124" s="345"/>
    </row>
    <row r="125" spans="1:35" x14ac:dyDescent="0.25">
      <c r="B125" s="35" t="s">
        <v>39</v>
      </c>
      <c r="C125" s="103" t="s">
        <v>17</v>
      </c>
      <c r="D125" s="103" t="s">
        <v>17</v>
      </c>
      <c r="E125" s="103" t="s">
        <v>17</v>
      </c>
      <c r="F125" s="103" t="s">
        <v>17</v>
      </c>
      <c r="G125" s="103" t="s">
        <v>17</v>
      </c>
      <c r="H125" s="103" t="s">
        <v>17</v>
      </c>
      <c r="I125" s="103" t="s">
        <v>17</v>
      </c>
      <c r="J125" s="268" t="s">
        <v>17</v>
      </c>
      <c r="K125" s="268" t="s">
        <v>17</v>
      </c>
      <c r="L125" s="253">
        <v>84635.857824000006</v>
      </c>
      <c r="M125" s="253">
        <v>85748.686415210017</v>
      </c>
      <c r="N125" s="253">
        <v>87200.52870000001</v>
      </c>
      <c r="O125" s="253">
        <v>88241.963531000016</v>
      </c>
      <c r="P125" s="253">
        <v>89521.504799999995</v>
      </c>
      <c r="Q125" s="253">
        <v>90558</v>
      </c>
      <c r="R125" s="253">
        <v>91576</v>
      </c>
      <c r="S125" s="253">
        <v>91538</v>
      </c>
      <c r="T125" s="253">
        <v>92159.978264809994</v>
      </c>
      <c r="U125" s="253">
        <v>93267.950380509996</v>
      </c>
      <c r="V125" s="345">
        <v>94166.060180650005</v>
      </c>
      <c r="W125" s="345">
        <v>95147.746360999998</v>
      </c>
      <c r="X125" s="345">
        <v>98240.09217399999</v>
      </c>
      <c r="Y125" s="253">
        <f t="shared" si="70"/>
        <v>99184.741686000008</v>
      </c>
      <c r="Z125" s="253"/>
      <c r="AB125" s="345">
        <v>98469.681237999976</v>
      </c>
      <c r="AC125" s="345">
        <v>98699.802156000005</v>
      </c>
      <c r="AD125" s="345">
        <v>98962.727900999991</v>
      </c>
      <c r="AE125" s="345">
        <v>99184.741686000008</v>
      </c>
      <c r="AF125" s="345">
        <v>98620.226428999988</v>
      </c>
      <c r="AG125" s="345"/>
      <c r="AH125" s="345"/>
      <c r="AI125" s="345"/>
    </row>
    <row r="126" spans="1:35" x14ac:dyDescent="0.25">
      <c r="B126" s="37" t="s">
        <v>123</v>
      </c>
      <c r="C126" s="104">
        <v>0</v>
      </c>
      <c r="D126" s="104">
        <v>0</v>
      </c>
      <c r="E126" s="104">
        <v>0</v>
      </c>
      <c r="F126" s="104">
        <v>0</v>
      </c>
      <c r="G126" s="104">
        <v>0</v>
      </c>
      <c r="H126" s="104">
        <v>0</v>
      </c>
      <c r="I126" s="104">
        <v>0</v>
      </c>
      <c r="J126" s="276">
        <v>0</v>
      </c>
      <c r="K126" s="276">
        <v>0</v>
      </c>
      <c r="L126" s="276">
        <v>0</v>
      </c>
      <c r="M126" s="276">
        <v>0</v>
      </c>
      <c r="N126" s="276">
        <v>0</v>
      </c>
      <c r="O126" s="276">
        <v>0</v>
      </c>
      <c r="P126" s="276">
        <v>0</v>
      </c>
      <c r="Q126" s="276" t="s">
        <v>17</v>
      </c>
      <c r="R126" s="268" t="s">
        <v>17</v>
      </c>
      <c r="S126" s="268" t="s">
        <v>17</v>
      </c>
      <c r="T126" s="253">
        <v>92159.978264809994</v>
      </c>
      <c r="U126" s="253">
        <v>93154.950380509996</v>
      </c>
      <c r="V126" s="345">
        <v>93850.060180650005</v>
      </c>
      <c r="W126" s="345">
        <v>94985.699804000003</v>
      </c>
      <c r="X126" s="345">
        <v>96054.708243999994</v>
      </c>
      <c r="Y126" s="253">
        <f t="shared" si="70"/>
        <v>96999.357756000012</v>
      </c>
      <c r="Z126" s="253"/>
      <c r="AB126" s="345">
        <v>96284.297307999979</v>
      </c>
      <c r="AC126" s="345">
        <v>96514.418226000009</v>
      </c>
      <c r="AD126" s="345">
        <v>96777.343970999995</v>
      </c>
      <c r="AE126" s="345">
        <v>96999.357756000012</v>
      </c>
      <c r="AF126" s="345">
        <v>97174.842498999991</v>
      </c>
      <c r="AG126" s="345"/>
      <c r="AH126" s="345"/>
      <c r="AI126" s="345"/>
    </row>
    <row r="127" spans="1:35" x14ac:dyDescent="0.25">
      <c r="B127" s="44" t="s">
        <v>124</v>
      </c>
      <c r="C127" s="104">
        <v>0</v>
      </c>
      <c r="D127" s="104">
        <v>0</v>
      </c>
      <c r="E127" s="104">
        <v>0</v>
      </c>
      <c r="F127" s="104">
        <v>0</v>
      </c>
      <c r="G127" s="104">
        <v>0</v>
      </c>
      <c r="H127" s="104">
        <v>0</v>
      </c>
      <c r="I127" s="104">
        <v>0</v>
      </c>
      <c r="J127" s="276">
        <v>0</v>
      </c>
      <c r="K127" s="276">
        <v>0</v>
      </c>
      <c r="L127" s="276">
        <v>0</v>
      </c>
      <c r="M127" s="276">
        <v>0</v>
      </c>
      <c r="N127" s="276">
        <v>0</v>
      </c>
      <c r="O127" s="276">
        <v>0</v>
      </c>
      <c r="P127" s="276">
        <v>0</v>
      </c>
      <c r="Q127" s="276" t="s">
        <v>17</v>
      </c>
      <c r="R127" s="268" t="s">
        <v>17</v>
      </c>
      <c r="S127" s="268" t="s">
        <v>17</v>
      </c>
      <c r="T127" s="253">
        <v>0</v>
      </c>
      <c r="U127" s="253">
        <v>113</v>
      </c>
      <c r="V127" s="345">
        <v>316</v>
      </c>
      <c r="W127" s="345">
        <v>162.04655700000001</v>
      </c>
      <c r="X127" s="345">
        <v>2185.38393</v>
      </c>
      <c r="Y127" s="253">
        <f t="shared" si="70"/>
        <v>2185.38393</v>
      </c>
      <c r="Z127" s="253"/>
      <c r="AB127" s="345">
        <v>2185.38393</v>
      </c>
      <c r="AC127" s="345">
        <v>2185.38393</v>
      </c>
      <c r="AD127" s="345">
        <v>2185.38393</v>
      </c>
      <c r="AE127" s="345">
        <v>2185.38393</v>
      </c>
      <c r="AF127" s="345">
        <v>1445.38393</v>
      </c>
      <c r="AG127" s="345"/>
      <c r="AH127" s="345"/>
      <c r="AI127" s="345"/>
    </row>
    <row r="128" spans="1:35" x14ac:dyDescent="0.25">
      <c r="B128" s="44"/>
      <c r="C128" s="25"/>
      <c r="D128" s="25"/>
      <c r="E128" s="25"/>
      <c r="F128" s="25"/>
      <c r="G128" s="25"/>
      <c r="H128" s="25"/>
      <c r="I128" s="25"/>
      <c r="J128" s="253"/>
      <c r="K128" s="253"/>
      <c r="L128" s="253"/>
      <c r="M128" s="253"/>
      <c r="N128" s="253"/>
      <c r="O128" s="253"/>
      <c r="P128" s="253"/>
      <c r="Q128" s="253"/>
      <c r="R128" s="253"/>
      <c r="S128" s="253"/>
      <c r="T128" s="253"/>
      <c r="U128" s="253"/>
      <c r="V128" s="345"/>
      <c r="W128" s="345"/>
      <c r="X128" s="345"/>
      <c r="Y128" s="253"/>
      <c r="Z128" s="253"/>
      <c r="AB128" s="345"/>
      <c r="AC128" s="345"/>
      <c r="AD128" s="345"/>
      <c r="AE128" s="345"/>
      <c r="AF128" s="345"/>
      <c r="AG128" s="345"/>
      <c r="AH128" s="345"/>
      <c r="AI128" s="345"/>
    </row>
    <row r="129" spans="2:35" x14ac:dyDescent="0.25">
      <c r="B129" s="34" t="s">
        <v>128</v>
      </c>
      <c r="C129" s="26"/>
      <c r="D129" s="26"/>
      <c r="E129" s="26"/>
      <c r="F129" s="26"/>
      <c r="G129" s="26"/>
      <c r="H129" s="26"/>
      <c r="I129" s="26"/>
      <c r="J129" s="260"/>
      <c r="K129" s="260"/>
      <c r="L129" s="260"/>
      <c r="M129" s="260"/>
      <c r="N129" s="260"/>
      <c r="O129" s="260"/>
      <c r="P129" s="260"/>
      <c r="Q129" s="260"/>
      <c r="R129" s="260"/>
      <c r="S129" s="260"/>
      <c r="T129" s="260"/>
      <c r="U129" s="260"/>
      <c r="V129" s="345"/>
      <c r="W129" s="345"/>
      <c r="X129" s="345"/>
      <c r="Y129" s="260"/>
      <c r="Z129" s="260"/>
      <c r="AB129" s="345"/>
      <c r="AC129" s="345"/>
      <c r="AD129" s="345"/>
      <c r="AE129" s="345"/>
      <c r="AF129" s="345"/>
      <c r="AG129" s="345"/>
      <c r="AH129" s="345"/>
      <c r="AI129" s="345"/>
    </row>
    <row r="130" spans="2:35" x14ac:dyDescent="0.25">
      <c r="B130" s="35" t="s">
        <v>51</v>
      </c>
      <c r="C130" s="104" t="s">
        <v>17</v>
      </c>
      <c r="D130" s="104" t="s">
        <v>17</v>
      </c>
      <c r="E130" s="104" t="s">
        <v>17</v>
      </c>
      <c r="F130" s="104" t="s">
        <v>17</v>
      </c>
      <c r="G130" s="104" t="s">
        <v>17</v>
      </c>
      <c r="H130" s="104" t="s">
        <v>17</v>
      </c>
      <c r="I130" s="104" t="s">
        <v>17</v>
      </c>
      <c r="J130" s="276" t="s">
        <v>17</v>
      </c>
      <c r="K130" s="276" t="s">
        <v>17</v>
      </c>
      <c r="L130" s="276" t="s">
        <v>17</v>
      </c>
      <c r="M130" s="276" t="s">
        <v>17</v>
      </c>
      <c r="N130" s="276" t="s">
        <v>17</v>
      </c>
      <c r="O130" s="276" t="s">
        <v>17</v>
      </c>
      <c r="P130" s="276" t="s">
        <v>17</v>
      </c>
      <c r="Q130" s="276" t="s">
        <v>17</v>
      </c>
      <c r="R130" s="344" t="s">
        <v>17</v>
      </c>
      <c r="S130" s="344" t="s">
        <v>17</v>
      </c>
      <c r="T130" s="345">
        <v>19.076000000000001</v>
      </c>
      <c r="U130" s="345">
        <v>22.513999999999999</v>
      </c>
      <c r="V130" s="345">
        <v>27.030999999999999</v>
      </c>
      <c r="W130" s="345">
        <v>34.082000000000001</v>
      </c>
      <c r="X130" s="345">
        <v>39.841999999999999</v>
      </c>
      <c r="Y130" s="345">
        <f>AE130</f>
        <v>58.472999999999999</v>
      </c>
      <c r="Z130" s="345"/>
      <c r="AB130" s="345">
        <v>44.773000000000003</v>
      </c>
      <c r="AC130" s="345">
        <v>49.616</v>
      </c>
      <c r="AD130" s="345">
        <v>49.616</v>
      </c>
      <c r="AE130" s="345">
        <v>58.472999999999999</v>
      </c>
      <c r="AF130" s="345">
        <v>62.887</v>
      </c>
      <c r="AG130" s="345"/>
      <c r="AH130" s="345"/>
      <c r="AI130" s="345"/>
    </row>
    <row r="131" spans="2:35" x14ac:dyDescent="0.25">
      <c r="B131" s="4" t="s">
        <v>50</v>
      </c>
      <c r="C131" s="104" t="s">
        <v>17</v>
      </c>
      <c r="D131" s="104" t="s">
        <v>17</v>
      </c>
      <c r="E131" s="104" t="s">
        <v>17</v>
      </c>
      <c r="F131" s="104" t="s">
        <v>17</v>
      </c>
      <c r="G131" s="104" t="s">
        <v>17</v>
      </c>
      <c r="H131" s="104" t="s">
        <v>17</v>
      </c>
      <c r="I131" s="104" t="s">
        <v>17</v>
      </c>
      <c r="J131" s="276" t="s">
        <v>17</v>
      </c>
      <c r="K131" s="276" t="s">
        <v>17</v>
      </c>
      <c r="L131" s="276" t="s">
        <v>17</v>
      </c>
      <c r="M131" s="276" t="s">
        <v>17</v>
      </c>
      <c r="N131" s="276" t="s">
        <v>17</v>
      </c>
      <c r="O131" s="276" t="s">
        <v>17</v>
      </c>
      <c r="P131" s="276" t="s">
        <v>17</v>
      </c>
      <c r="Q131" s="276" t="s">
        <v>17</v>
      </c>
      <c r="R131" s="344" t="s">
        <v>17</v>
      </c>
      <c r="S131" s="344" t="s">
        <v>17</v>
      </c>
      <c r="T131" s="345">
        <v>6.8810000000000002</v>
      </c>
      <c r="U131" s="345">
        <v>6.8810000000000002</v>
      </c>
      <c r="V131" s="345">
        <v>18.571999999999999</v>
      </c>
      <c r="W131" s="345">
        <v>18.701000000000001</v>
      </c>
      <c r="X131" s="345">
        <v>18.725999999999999</v>
      </c>
      <c r="Y131" s="345">
        <f>AE131</f>
        <v>18.93</v>
      </c>
      <c r="Z131" s="345"/>
      <c r="AB131" s="345">
        <v>18.739999999999998</v>
      </c>
      <c r="AC131" s="345">
        <v>18.745999999999999</v>
      </c>
      <c r="AD131" s="345">
        <v>18.745999999999999</v>
      </c>
      <c r="AE131" s="345">
        <v>18.93</v>
      </c>
      <c r="AF131" s="345">
        <v>18.771000000000001</v>
      </c>
      <c r="AG131" s="345"/>
      <c r="AH131" s="345"/>
      <c r="AI131" s="345"/>
    </row>
    <row r="132" spans="2:35" x14ac:dyDescent="0.25">
      <c r="B132" s="4"/>
      <c r="C132" s="80"/>
      <c r="D132" s="80"/>
      <c r="E132" s="80"/>
      <c r="F132" s="80"/>
      <c r="G132" s="80"/>
      <c r="H132" s="80"/>
      <c r="I132" s="80"/>
      <c r="J132" s="345"/>
      <c r="K132" s="345"/>
      <c r="L132" s="345"/>
      <c r="M132" s="345"/>
      <c r="N132" s="345"/>
      <c r="O132" s="345"/>
      <c r="P132" s="345"/>
      <c r="Q132" s="345"/>
      <c r="R132" s="345"/>
      <c r="S132" s="345"/>
      <c r="T132" s="345"/>
      <c r="U132" s="345"/>
      <c r="V132" s="345"/>
      <c r="W132" s="345"/>
      <c r="X132" s="345"/>
      <c r="Y132" s="345"/>
      <c r="Z132" s="345"/>
      <c r="AB132" s="345"/>
      <c r="AC132" s="345"/>
      <c r="AD132" s="345"/>
      <c r="AE132" s="345"/>
      <c r="AF132" s="345"/>
      <c r="AG132" s="345"/>
      <c r="AH132" s="345"/>
      <c r="AI132" s="345"/>
    </row>
    <row r="133" spans="2:35" x14ac:dyDescent="0.25">
      <c r="B133" s="34" t="s">
        <v>129</v>
      </c>
      <c r="C133" s="80"/>
      <c r="D133" s="80"/>
      <c r="E133" s="80"/>
      <c r="F133" s="80"/>
      <c r="G133" s="80"/>
      <c r="H133" s="80"/>
      <c r="I133" s="80"/>
      <c r="J133" s="345"/>
      <c r="K133" s="345"/>
      <c r="L133" s="345"/>
      <c r="M133" s="345"/>
      <c r="N133" s="345"/>
      <c r="O133" s="345"/>
      <c r="P133" s="345"/>
      <c r="Q133" s="345"/>
      <c r="R133" s="345"/>
      <c r="S133" s="345"/>
      <c r="T133" s="345"/>
      <c r="U133" s="345"/>
      <c r="V133" s="345"/>
      <c r="W133" s="345"/>
      <c r="X133" s="345"/>
      <c r="Y133" s="345"/>
      <c r="Z133" s="345"/>
      <c r="AB133" s="345"/>
      <c r="AC133" s="345"/>
      <c r="AD133" s="345"/>
      <c r="AE133" s="345"/>
      <c r="AF133" s="345"/>
      <c r="AG133" s="345"/>
      <c r="AH133" s="345"/>
      <c r="AI133" s="345"/>
    </row>
    <row r="134" spans="2:35" x14ac:dyDescent="0.25">
      <c r="B134" s="51" t="s">
        <v>51</v>
      </c>
      <c r="C134" s="104" t="s">
        <v>17</v>
      </c>
      <c r="D134" s="104" t="s">
        <v>17</v>
      </c>
      <c r="E134" s="104" t="s">
        <v>17</v>
      </c>
      <c r="F134" s="104" t="s">
        <v>17</v>
      </c>
      <c r="G134" s="104" t="s">
        <v>17</v>
      </c>
      <c r="H134" s="104" t="s">
        <v>17</v>
      </c>
      <c r="I134" s="104" t="s">
        <v>17</v>
      </c>
      <c r="J134" s="276" t="s">
        <v>17</v>
      </c>
      <c r="K134" s="276" t="s">
        <v>17</v>
      </c>
      <c r="L134" s="276" t="s">
        <v>17</v>
      </c>
      <c r="M134" s="276" t="s">
        <v>17</v>
      </c>
      <c r="N134" s="276" t="s">
        <v>17</v>
      </c>
      <c r="O134" s="276" t="s">
        <v>17</v>
      </c>
      <c r="P134" s="276" t="s">
        <v>17</v>
      </c>
      <c r="Q134" s="276" t="s">
        <v>17</v>
      </c>
      <c r="R134" s="344" t="s">
        <v>17</v>
      </c>
      <c r="S134" s="344" t="s">
        <v>17</v>
      </c>
      <c r="T134" s="345">
        <v>1922.991</v>
      </c>
      <c r="U134" s="345">
        <v>2578.1669999999999</v>
      </c>
      <c r="V134" s="345">
        <v>3208.2089999999998</v>
      </c>
      <c r="W134" s="345">
        <v>3983.1039999999998</v>
      </c>
      <c r="X134" s="345">
        <v>4593.9399999999996</v>
      </c>
      <c r="Y134" s="345">
        <f>AE134</f>
        <v>5620.1880000000001</v>
      </c>
      <c r="Z134" s="345"/>
      <c r="AB134" s="345">
        <v>4854.1869999999999</v>
      </c>
      <c r="AC134" s="345">
        <v>5110.8779999999997</v>
      </c>
      <c r="AD134" s="345">
        <v>5365.8720000000003</v>
      </c>
      <c r="AE134" s="345">
        <v>5620.1880000000001</v>
      </c>
      <c r="AF134" s="345">
        <v>5883.7049999999999</v>
      </c>
      <c r="AG134" s="345"/>
      <c r="AH134" s="345"/>
      <c r="AI134" s="345"/>
    </row>
    <row r="135" spans="2:35" x14ac:dyDescent="0.25">
      <c r="B135" s="21" t="s">
        <v>142</v>
      </c>
      <c r="C135" s="104" t="s">
        <v>17</v>
      </c>
      <c r="D135" s="104" t="s">
        <v>17</v>
      </c>
      <c r="E135" s="104" t="s">
        <v>17</v>
      </c>
      <c r="F135" s="104" t="s">
        <v>17</v>
      </c>
      <c r="G135" s="104" t="s">
        <v>17</v>
      </c>
      <c r="H135" s="104" t="s">
        <v>17</v>
      </c>
      <c r="I135" s="104" t="s">
        <v>17</v>
      </c>
      <c r="J135" s="276" t="s">
        <v>17</v>
      </c>
      <c r="K135" s="276" t="s">
        <v>17</v>
      </c>
      <c r="L135" s="276" t="s">
        <v>17</v>
      </c>
      <c r="M135" s="276" t="s">
        <v>17</v>
      </c>
      <c r="N135" s="276" t="s">
        <v>17</v>
      </c>
      <c r="O135" s="276" t="s">
        <v>17</v>
      </c>
      <c r="P135" s="276" t="s">
        <v>17</v>
      </c>
      <c r="Q135" s="276" t="s">
        <v>17</v>
      </c>
      <c r="R135" s="443" t="s">
        <v>17</v>
      </c>
      <c r="S135" s="443" t="s">
        <v>17</v>
      </c>
      <c r="T135" s="443" t="s">
        <v>17</v>
      </c>
      <c r="U135" s="353">
        <v>0.41070893200610825</v>
      </c>
      <c r="V135" s="353">
        <v>0.50903986706166515</v>
      </c>
      <c r="W135" s="353">
        <v>0.62527662234482184</v>
      </c>
      <c r="X135" s="353">
        <v>0.71503025999642933</v>
      </c>
      <c r="Y135" s="365">
        <f>AE135</f>
        <v>0.86672190677376038</v>
      </c>
      <c r="Z135" s="365"/>
      <c r="AB135" s="353">
        <v>0.75383862076762476</v>
      </c>
      <c r="AC135" s="353">
        <v>0.79110174266336608</v>
      </c>
      <c r="AD135" s="353">
        <v>0.82872491468146081</v>
      </c>
      <c r="AE135" s="353">
        <v>0.86672190677376038</v>
      </c>
      <c r="AF135" s="353">
        <v>0.9064527450071731</v>
      </c>
      <c r="AG135" s="353"/>
      <c r="AH135" s="353"/>
      <c r="AI135" s="353"/>
    </row>
    <row r="136" spans="2:35" x14ac:dyDescent="0.25">
      <c r="B136" s="35" t="s">
        <v>50</v>
      </c>
      <c r="C136" s="104" t="s">
        <v>17</v>
      </c>
      <c r="D136" s="104" t="s">
        <v>17</v>
      </c>
      <c r="E136" s="104" t="s">
        <v>17</v>
      </c>
      <c r="F136" s="104" t="s">
        <v>17</v>
      </c>
      <c r="G136" s="104" t="s">
        <v>17</v>
      </c>
      <c r="H136" s="104" t="s">
        <v>17</v>
      </c>
      <c r="I136" s="104" t="s">
        <v>17</v>
      </c>
      <c r="J136" s="276" t="s">
        <v>17</v>
      </c>
      <c r="K136" s="276" t="s">
        <v>17</v>
      </c>
      <c r="L136" s="276" t="s">
        <v>17</v>
      </c>
      <c r="M136" s="276" t="s">
        <v>17</v>
      </c>
      <c r="N136" s="276" t="s">
        <v>17</v>
      </c>
      <c r="O136" s="276" t="s">
        <v>17</v>
      </c>
      <c r="P136" s="276" t="s">
        <v>17</v>
      </c>
      <c r="Q136" s="276" t="s">
        <v>17</v>
      </c>
      <c r="R136" s="344" t="s">
        <v>17</v>
      </c>
      <c r="S136" s="344" t="s">
        <v>17</v>
      </c>
      <c r="T136" s="345">
        <v>644.31700000000001</v>
      </c>
      <c r="U136" s="345">
        <v>666.08399999999995</v>
      </c>
      <c r="V136" s="345">
        <v>1368.8430000000001</v>
      </c>
      <c r="W136" s="345">
        <v>1372.72</v>
      </c>
      <c r="X136" s="345">
        <v>1373.145</v>
      </c>
      <c r="Y136" s="345">
        <f>AE136</f>
        <v>1379.7860000000001</v>
      </c>
      <c r="Z136" s="345"/>
      <c r="AB136" s="345">
        <v>1376.1379999999999</v>
      </c>
      <c r="AC136" s="345">
        <v>1378.0640000000001</v>
      </c>
      <c r="AD136" s="345">
        <v>1380.087</v>
      </c>
      <c r="AE136" s="345">
        <v>1379.7860000000001</v>
      </c>
      <c r="AF136" s="345">
        <v>1374.991</v>
      </c>
      <c r="AG136" s="345"/>
      <c r="AH136" s="345"/>
      <c r="AI136" s="345"/>
    </row>
    <row r="137" spans="2:35" x14ac:dyDescent="0.25">
      <c r="B137" s="35"/>
      <c r="C137" s="119"/>
      <c r="D137" s="119"/>
      <c r="E137" s="119"/>
      <c r="F137" s="119"/>
      <c r="G137" s="119"/>
      <c r="H137" s="119"/>
      <c r="I137" s="119"/>
      <c r="J137" s="366"/>
      <c r="K137" s="366"/>
      <c r="L137" s="366"/>
      <c r="M137" s="366"/>
      <c r="N137" s="366"/>
      <c r="O137" s="366"/>
      <c r="P137" s="366"/>
      <c r="Q137" s="366"/>
      <c r="R137" s="366"/>
      <c r="S137" s="366"/>
      <c r="T137" s="366"/>
      <c r="U137" s="366"/>
      <c r="V137" s="292"/>
      <c r="AB137" s="253"/>
      <c r="AC137" s="253"/>
      <c r="AD137" s="292"/>
    </row>
    <row r="138" spans="2:35" x14ac:dyDescent="0.25">
      <c r="B138" s="179" t="s">
        <v>130</v>
      </c>
      <c r="C138" s="61">
        <v>2001</v>
      </c>
      <c r="D138" s="61">
        <v>2002</v>
      </c>
      <c r="E138" s="61">
        <v>2003</v>
      </c>
      <c r="F138" s="61">
        <v>2004</v>
      </c>
      <c r="G138" s="61">
        <v>2005</v>
      </c>
      <c r="H138" s="61">
        <v>2006</v>
      </c>
      <c r="I138" s="61">
        <v>2007</v>
      </c>
      <c r="J138" s="228">
        <v>2008</v>
      </c>
      <c r="K138" s="228">
        <v>2009</v>
      </c>
      <c r="L138" s="228">
        <v>2010</v>
      </c>
      <c r="M138" s="228">
        <v>2011</v>
      </c>
      <c r="N138" s="228">
        <v>2012</v>
      </c>
      <c r="O138" s="228">
        <v>2013</v>
      </c>
      <c r="P138" s="228">
        <v>2014</v>
      </c>
      <c r="Q138" s="228">
        <v>2015</v>
      </c>
      <c r="R138" s="228">
        <v>2016</v>
      </c>
      <c r="S138" s="228">
        <v>2017</v>
      </c>
      <c r="T138" s="228">
        <v>2018</v>
      </c>
      <c r="U138" s="228">
        <v>2019</v>
      </c>
      <c r="V138" s="228">
        <v>2020</v>
      </c>
      <c r="W138" s="228">
        <v>2021</v>
      </c>
      <c r="X138" s="228">
        <v>2022</v>
      </c>
      <c r="Y138" s="229">
        <v>2023</v>
      </c>
      <c r="Z138" s="230">
        <v>2024</v>
      </c>
      <c r="AB138" s="231" t="s">
        <v>291</v>
      </c>
      <c r="AC138" s="231" t="s">
        <v>292</v>
      </c>
      <c r="AD138" s="231" t="s">
        <v>293</v>
      </c>
      <c r="AE138" s="231">
        <v>2023</v>
      </c>
      <c r="AF138" s="232" t="s">
        <v>318</v>
      </c>
      <c r="AG138" s="232" t="s">
        <v>319</v>
      </c>
      <c r="AH138" s="232" t="s">
        <v>320</v>
      </c>
      <c r="AI138" s="232">
        <v>2024</v>
      </c>
    </row>
    <row r="139" spans="2:35" x14ac:dyDescent="0.25">
      <c r="B139" s="34" t="s">
        <v>51</v>
      </c>
      <c r="C139" s="104">
        <v>0</v>
      </c>
      <c r="D139" s="104">
        <v>0</v>
      </c>
      <c r="E139" s="104">
        <v>0</v>
      </c>
      <c r="F139" s="104">
        <v>0</v>
      </c>
      <c r="G139" s="104">
        <v>0</v>
      </c>
      <c r="H139" s="104">
        <v>0</v>
      </c>
      <c r="I139" s="104">
        <v>0</v>
      </c>
      <c r="J139" s="276">
        <v>0</v>
      </c>
      <c r="K139" s="276">
        <v>0</v>
      </c>
      <c r="L139" s="260">
        <v>6149.0460000000003</v>
      </c>
      <c r="M139" s="260">
        <v>6137.6760000000004</v>
      </c>
      <c r="N139" s="260">
        <v>6095.2060000000001</v>
      </c>
      <c r="O139" s="260">
        <v>6075.9480000000003</v>
      </c>
      <c r="P139" s="260">
        <v>6082.768</v>
      </c>
      <c r="Q139" s="260">
        <v>6107</v>
      </c>
      <c r="R139" s="260">
        <f>R140+R141+R142</f>
        <v>6143</v>
      </c>
      <c r="S139" s="260">
        <v>6187</v>
      </c>
      <c r="T139" s="260">
        <v>6225.643</v>
      </c>
      <c r="U139" s="260">
        <v>6277.3580000000002</v>
      </c>
      <c r="V139" s="261">
        <v>6302.4709999999995</v>
      </c>
      <c r="W139" s="261">
        <v>6370.1469999999999</v>
      </c>
      <c r="X139" s="261">
        <v>6424.8190000000004</v>
      </c>
      <c r="Y139" s="260">
        <f>AE139</f>
        <v>6484.4189999999999</v>
      </c>
      <c r="Z139" s="260"/>
      <c r="AB139" s="261">
        <v>6439.2920000000004</v>
      </c>
      <c r="AC139" s="261">
        <v>6460.4560000000001</v>
      </c>
      <c r="AD139" s="261">
        <v>6474.8530000000001</v>
      </c>
      <c r="AE139" s="261">
        <v>6484.4189999999999</v>
      </c>
      <c r="AF139" s="261">
        <v>6490.9120000000003</v>
      </c>
      <c r="AG139" s="261"/>
      <c r="AH139" s="261"/>
      <c r="AI139" s="261"/>
    </row>
    <row r="140" spans="2:35" x14ac:dyDescent="0.25">
      <c r="B140" s="41" t="s">
        <v>143</v>
      </c>
      <c r="C140" s="103">
        <v>0</v>
      </c>
      <c r="D140" s="103">
        <v>0</v>
      </c>
      <c r="E140" s="103">
        <v>0</v>
      </c>
      <c r="F140" s="103">
        <v>0</v>
      </c>
      <c r="G140" s="103">
        <v>0</v>
      </c>
      <c r="H140" s="103">
        <v>0</v>
      </c>
      <c r="I140" s="103">
        <v>0</v>
      </c>
      <c r="J140" s="268">
        <v>0</v>
      </c>
      <c r="K140" s="268">
        <v>0</v>
      </c>
      <c r="L140" s="253">
        <v>23.617999999999999</v>
      </c>
      <c r="M140" s="253">
        <v>23.837</v>
      </c>
      <c r="N140" s="253">
        <v>23.88</v>
      </c>
      <c r="O140" s="253">
        <v>23.884</v>
      </c>
      <c r="P140" s="253">
        <v>24.062000000000001</v>
      </c>
      <c r="Q140" s="253">
        <v>24</v>
      </c>
      <c r="R140" s="253">
        <v>25</v>
      </c>
      <c r="S140" s="253">
        <v>25</v>
      </c>
      <c r="T140" s="253">
        <v>25.100999999999999</v>
      </c>
      <c r="U140" s="253">
        <v>25.411999999999999</v>
      </c>
      <c r="V140" s="345">
        <v>25.489000000000001</v>
      </c>
      <c r="W140" s="345">
        <v>25.945</v>
      </c>
      <c r="X140" s="345">
        <v>26.306000000000001</v>
      </c>
      <c r="Y140" s="253">
        <f>AE140</f>
        <v>26.541999999999998</v>
      </c>
      <c r="Z140" s="253"/>
      <c r="AB140" s="345">
        <v>26.397000000000002</v>
      </c>
      <c r="AC140" s="345">
        <v>26.315999999999999</v>
      </c>
      <c r="AD140" s="345">
        <v>26.433</v>
      </c>
      <c r="AE140" s="345">
        <v>26.541999999999998</v>
      </c>
      <c r="AF140" s="345">
        <v>26.614999999999998</v>
      </c>
      <c r="AG140" s="345"/>
      <c r="AH140" s="345"/>
      <c r="AI140" s="345"/>
    </row>
    <row r="141" spans="2:35" x14ac:dyDescent="0.25">
      <c r="B141" s="41" t="s">
        <v>144</v>
      </c>
      <c r="C141" s="103">
        <v>0</v>
      </c>
      <c r="D141" s="103">
        <v>0</v>
      </c>
      <c r="E141" s="103">
        <v>0</v>
      </c>
      <c r="F141" s="103">
        <v>0</v>
      </c>
      <c r="G141" s="103">
        <v>0</v>
      </c>
      <c r="H141" s="103">
        <v>0</v>
      </c>
      <c r="I141" s="103">
        <v>0</v>
      </c>
      <c r="J141" s="268">
        <v>0</v>
      </c>
      <c r="K141" s="268">
        <v>0</v>
      </c>
      <c r="L141" s="253">
        <v>33.71</v>
      </c>
      <c r="M141" s="253">
        <v>33.834000000000003</v>
      </c>
      <c r="N141" s="253">
        <v>33.484999999999999</v>
      </c>
      <c r="O141" s="253">
        <v>33.536999999999999</v>
      </c>
      <c r="P141" s="253">
        <v>33.896999999999998</v>
      </c>
      <c r="Q141" s="253">
        <v>34</v>
      </c>
      <c r="R141" s="253">
        <v>35</v>
      </c>
      <c r="S141" s="253">
        <v>36</v>
      </c>
      <c r="T141" s="253">
        <v>36.453000000000003</v>
      </c>
      <c r="U141" s="253">
        <v>37.143999999999998</v>
      </c>
      <c r="V141" s="345">
        <v>37.514000000000003</v>
      </c>
      <c r="W141" s="345">
        <v>38.401000000000003</v>
      </c>
      <c r="X141" s="345">
        <v>39.033999999999999</v>
      </c>
      <c r="Y141" s="253">
        <f>AE141</f>
        <v>39.987000000000002</v>
      </c>
      <c r="Z141" s="253"/>
      <c r="AB141" s="345">
        <v>39.139000000000003</v>
      </c>
      <c r="AC141" s="345">
        <v>39.524000000000001</v>
      </c>
      <c r="AD141" s="345">
        <v>39.738999999999997</v>
      </c>
      <c r="AE141" s="345">
        <v>39.987000000000002</v>
      </c>
      <c r="AF141" s="345">
        <v>40.159999999999997</v>
      </c>
      <c r="AG141" s="345"/>
      <c r="AH141" s="345"/>
      <c r="AI141" s="345"/>
    </row>
    <row r="142" spans="2:35" x14ac:dyDescent="0.25">
      <c r="B142" s="41" t="s">
        <v>141</v>
      </c>
      <c r="C142" s="103">
        <v>0</v>
      </c>
      <c r="D142" s="103">
        <v>0</v>
      </c>
      <c r="E142" s="103">
        <v>0</v>
      </c>
      <c r="F142" s="103">
        <v>0</v>
      </c>
      <c r="G142" s="103">
        <v>0</v>
      </c>
      <c r="H142" s="103">
        <v>0</v>
      </c>
      <c r="I142" s="103">
        <v>0</v>
      </c>
      <c r="J142" s="268">
        <v>0</v>
      </c>
      <c r="K142" s="268">
        <v>0</v>
      </c>
      <c r="L142" s="253">
        <v>6091.7179999999998</v>
      </c>
      <c r="M142" s="253">
        <v>6080.0050000000001</v>
      </c>
      <c r="N142" s="253">
        <v>6037.8410000000003</v>
      </c>
      <c r="O142" s="253">
        <v>6018.527</v>
      </c>
      <c r="P142" s="253">
        <v>6024.8090000000002</v>
      </c>
      <c r="Q142" s="253">
        <v>6048</v>
      </c>
      <c r="R142" s="253">
        <v>6083</v>
      </c>
      <c r="S142" s="253">
        <v>6126</v>
      </c>
      <c r="T142" s="253">
        <v>6164.0889999999999</v>
      </c>
      <c r="U142" s="253">
        <v>6214.8019999999997</v>
      </c>
      <c r="V142" s="345">
        <v>6239.4679999999998</v>
      </c>
      <c r="W142" s="345">
        <v>6305.8010000000004</v>
      </c>
      <c r="X142" s="345">
        <v>6359.4790000000003</v>
      </c>
      <c r="Y142" s="253">
        <f>AE142</f>
        <v>6417.89</v>
      </c>
      <c r="Z142" s="253"/>
      <c r="AB142" s="345">
        <v>6373.7560000000003</v>
      </c>
      <c r="AC142" s="345">
        <v>6394.616</v>
      </c>
      <c r="AD142" s="345">
        <v>6408.6809999999996</v>
      </c>
      <c r="AE142" s="345">
        <v>6417.89</v>
      </c>
      <c r="AF142" s="345">
        <v>6424.1369999999997</v>
      </c>
      <c r="AG142" s="345"/>
      <c r="AH142" s="345"/>
      <c r="AI142" s="345"/>
    </row>
    <row r="143" spans="2:35" x14ac:dyDescent="0.25">
      <c r="B143" s="41"/>
      <c r="C143" s="25"/>
      <c r="D143" s="25"/>
      <c r="E143" s="25"/>
      <c r="F143" s="25"/>
      <c r="G143" s="25"/>
      <c r="H143" s="25"/>
      <c r="I143" s="25"/>
      <c r="J143" s="253"/>
      <c r="K143" s="253"/>
      <c r="L143" s="253"/>
      <c r="M143" s="253"/>
      <c r="N143" s="253"/>
      <c r="O143" s="253"/>
      <c r="P143" s="253"/>
      <c r="Q143" s="253"/>
      <c r="R143" s="253"/>
      <c r="S143" s="253"/>
      <c r="T143" s="253"/>
      <c r="U143" s="253"/>
      <c r="V143" s="345"/>
      <c r="W143" s="345"/>
      <c r="X143" s="345"/>
      <c r="Y143" s="253"/>
      <c r="Z143" s="253"/>
      <c r="AB143" s="345"/>
      <c r="AC143" s="345"/>
      <c r="AD143" s="345"/>
      <c r="AE143" s="345"/>
      <c r="AF143" s="345"/>
      <c r="AG143" s="345"/>
      <c r="AH143" s="345"/>
      <c r="AI143" s="345"/>
    </row>
    <row r="144" spans="2:35" x14ac:dyDescent="0.25">
      <c r="B144" s="34" t="s">
        <v>50</v>
      </c>
      <c r="C144" s="26">
        <v>0</v>
      </c>
      <c r="D144" s="26">
        <v>0</v>
      </c>
      <c r="E144" s="26">
        <v>0</v>
      </c>
      <c r="F144" s="26">
        <v>0</v>
      </c>
      <c r="G144" s="26">
        <v>0</v>
      </c>
      <c r="H144" s="26">
        <v>0</v>
      </c>
      <c r="I144" s="26">
        <v>0</v>
      </c>
      <c r="J144" s="260">
        <v>0</v>
      </c>
      <c r="K144" s="260">
        <v>0</v>
      </c>
      <c r="L144" s="260">
        <v>651.00099999999998</v>
      </c>
      <c r="M144" s="260">
        <v>656.11900000000003</v>
      </c>
      <c r="N144" s="260">
        <v>658.5809999999999</v>
      </c>
      <c r="O144" s="260">
        <v>658.83399999999995</v>
      </c>
      <c r="P144" s="260">
        <v>659.31899999999996</v>
      </c>
      <c r="Q144" s="260">
        <v>660</v>
      </c>
      <c r="R144" s="260">
        <v>663</v>
      </c>
      <c r="S144" s="260">
        <v>664</v>
      </c>
      <c r="T144" s="260">
        <v>666.40299999999991</v>
      </c>
      <c r="U144" s="260">
        <v>668.49400000000003</v>
      </c>
      <c r="V144" s="261">
        <v>1370.902</v>
      </c>
      <c r="W144" s="261">
        <v>1376.4780000000001</v>
      </c>
      <c r="X144" s="261">
        <v>1383.123</v>
      </c>
      <c r="Y144" s="260">
        <f>AE144</f>
        <v>1390.5250000000001</v>
      </c>
      <c r="Z144" s="260"/>
      <c r="AB144" s="261">
        <v>1384.337</v>
      </c>
      <c r="AC144" s="261">
        <v>1386.2739999999999</v>
      </c>
      <c r="AD144" s="261">
        <v>1388.2739999999999</v>
      </c>
      <c r="AE144" s="261">
        <v>1390.5250000000001</v>
      </c>
      <c r="AF144" s="261">
        <v>1391.933</v>
      </c>
      <c r="AG144" s="261"/>
      <c r="AH144" s="261"/>
      <c r="AI144" s="261"/>
    </row>
    <row r="145" spans="2:35" x14ac:dyDescent="0.25">
      <c r="B145" s="41" t="s">
        <v>140</v>
      </c>
      <c r="C145" s="25">
        <v>0</v>
      </c>
      <c r="D145" s="25">
        <v>0</v>
      </c>
      <c r="E145" s="25">
        <v>0</v>
      </c>
      <c r="F145" s="25">
        <v>0</v>
      </c>
      <c r="G145" s="25">
        <v>0</v>
      </c>
      <c r="H145" s="25">
        <v>0</v>
      </c>
      <c r="I145" s="25">
        <v>0</v>
      </c>
      <c r="J145" s="253">
        <v>0</v>
      </c>
      <c r="K145" s="253">
        <v>0</v>
      </c>
      <c r="L145" s="253">
        <v>1.1060000000000001</v>
      </c>
      <c r="M145" s="253">
        <v>1.115</v>
      </c>
      <c r="N145" s="253">
        <v>1.1220000000000001</v>
      </c>
      <c r="O145" s="253">
        <v>1.127</v>
      </c>
      <c r="P145" s="253">
        <v>1.139</v>
      </c>
      <c r="Q145" s="253">
        <v>1</v>
      </c>
      <c r="R145" s="253">
        <v>1</v>
      </c>
      <c r="S145" s="253">
        <v>1</v>
      </c>
      <c r="T145" s="253">
        <v>1.151</v>
      </c>
      <c r="U145" s="253">
        <v>1.155</v>
      </c>
      <c r="V145" s="345">
        <v>2.5270000000000001</v>
      </c>
      <c r="W145" s="345">
        <v>2.58</v>
      </c>
      <c r="X145" s="345">
        <v>2.605</v>
      </c>
      <c r="Y145" s="253">
        <f>AE145</f>
        <v>2.601</v>
      </c>
      <c r="Z145" s="253"/>
      <c r="AB145" s="345">
        <v>2.585</v>
      </c>
      <c r="AC145" s="345">
        <v>2.589</v>
      </c>
      <c r="AD145" s="345">
        <v>2.5960000000000001</v>
      </c>
      <c r="AE145" s="345">
        <v>2.601</v>
      </c>
      <c r="AF145" s="345">
        <v>2.6110000000000002</v>
      </c>
      <c r="AG145" s="345"/>
      <c r="AH145" s="345"/>
      <c r="AI145" s="345"/>
    </row>
    <row r="146" spans="2:35" x14ac:dyDescent="0.25">
      <c r="B146" s="41" t="s">
        <v>141</v>
      </c>
      <c r="C146" s="25">
        <v>0</v>
      </c>
      <c r="D146" s="25">
        <v>0</v>
      </c>
      <c r="E146" s="25">
        <v>0</v>
      </c>
      <c r="F146" s="25">
        <v>0</v>
      </c>
      <c r="G146" s="25">
        <v>0</v>
      </c>
      <c r="H146" s="25">
        <v>0</v>
      </c>
      <c r="I146" s="25">
        <v>0</v>
      </c>
      <c r="J146" s="253">
        <v>0</v>
      </c>
      <c r="K146" s="253">
        <v>0</v>
      </c>
      <c r="L146" s="253">
        <v>649.89499999999998</v>
      </c>
      <c r="M146" s="253">
        <v>655.00400000000002</v>
      </c>
      <c r="N146" s="253">
        <v>657.45899999999995</v>
      </c>
      <c r="O146" s="253">
        <v>657.70699999999999</v>
      </c>
      <c r="P146" s="253">
        <v>658.18</v>
      </c>
      <c r="Q146" s="253">
        <v>659</v>
      </c>
      <c r="R146" s="253">
        <v>662</v>
      </c>
      <c r="S146" s="253">
        <v>663</v>
      </c>
      <c r="T146" s="253">
        <v>665.25199999999995</v>
      </c>
      <c r="U146" s="253">
        <v>667.33900000000006</v>
      </c>
      <c r="V146" s="345">
        <v>1368.375</v>
      </c>
      <c r="W146" s="345">
        <v>1373.8979999999999</v>
      </c>
      <c r="X146" s="345">
        <v>1380.518</v>
      </c>
      <c r="Y146" s="253">
        <f>AE146</f>
        <v>1387.905</v>
      </c>
      <c r="Z146" s="253"/>
      <c r="AB146" s="345">
        <v>1381.7329999999999</v>
      </c>
      <c r="AC146" s="345">
        <v>1383.6659999999999</v>
      </c>
      <c r="AD146" s="345">
        <v>1385.6590000000001</v>
      </c>
      <c r="AE146" s="345">
        <v>1387.905</v>
      </c>
      <c r="AF146" s="345">
        <v>1389.3030000000001</v>
      </c>
      <c r="AG146" s="345"/>
      <c r="AH146" s="345"/>
      <c r="AI146" s="345"/>
    </row>
    <row r="147" spans="2:35" x14ac:dyDescent="0.25">
      <c r="B147" s="41"/>
      <c r="C147" s="25"/>
      <c r="D147" s="25"/>
      <c r="E147" s="25"/>
      <c r="F147" s="25"/>
      <c r="G147" s="25"/>
      <c r="H147" s="25"/>
      <c r="I147" s="25"/>
      <c r="J147" s="253"/>
      <c r="K147" s="253"/>
      <c r="L147" s="253"/>
      <c r="M147" s="253"/>
      <c r="N147" s="253"/>
      <c r="O147" s="253"/>
      <c r="P147" s="253"/>
      <c r="Q147" s="253"/>
      <c r="R147" s="253"/>
      <c r="S147" s="253"/>
      <c r="T147" s="253"/>
      <c r="U147" s="253"/>
      <c r="V147" s="345"/>
      <c r="W147" s="345"/>
      <c r="X147" s="345"/>
      <c r="Y147" s="253"/>
      <c r="Z147" s="253"/>
      <c r="AB147" s="345"/>
      <c r="AC147" s="345"/>
      <c r="AD147" s="345"/>
      <c r="AE147" s="345"/>
      <c r="AF147" s="345"/>
      <c r="AG147" s="345"/>
      <c r="AH147" s="345"/>
      <c r="AI147" s="345"/>
    </row>
    <row r="148" spans="2:35" x14ac:dyDescent="0.25">
      <c r="B148" s="34" t="s">
        <v>39</v>
      </c>
      <c r="C148" s="26">
        <v>0</v>
      </c>
      <c r="D148" s="26">
        <v>0</v>
      </c>
      <c r="E148" s="26">
        <v>0</v>
      </c>
      <c r="F148" s="26">
        <v>0</v>
      </c>
      <c r="G148" s="26">
        <v>0</v>
      </c>
      <c r="H148" s="26">
        <v>0</v>
      </c>
      <c r="I148" s="26">
        <v>0</v>
      </c>
      <c r="J148" s="260">
        <v>0</v>
      </c>
      <c r="K148" s="260">
        <v>0</v>
      </c>
      <c r="L148" s="260">
        <v>2740.7110000000002</v>
      </c>
      <c r="M148" s="260">
        <v>2831.6590000000001</v>
      </c>
      <c r="N148" s="260">
        <v>2933.9269999999997</v>
      </c>
      <c r="O148" s="260">
        <v>3045.0810000000001</v>
      </c>
      <c r="P148" s="260">
        <v>3151.5030000000002</v>
      </c>
      <c r="Q148" s="260">
        <v>3257</v>
      </c>
      <c r="R148" s="260">
        <v>3316</v>
      </c>
      <c r="S148" s="260">
        <v>3377</v>
      </c>
      <c r="T148" s="260">
        <v>3451.04</v>
      </c>
      <c r="U148" s="260">
        <v>3524.1149999999998</v>
      </c>
      <c r="V148" s="261">
        <v>3600.7809999999999</v>
      </c>
      <c r="W148" s="261">
        <v>3680.442</v>
      </c>
      <c r="X148" s="261">
        <v>3774.9009999999998</v>
      </c>
      <c r="Y148" s="260">
        <f>AE148</f>
        <v>3882.7559999999999</v>
      </c>
      <c r="Z148" s="260"/>
      <c r="AB148" s="261">
        <v>3810.576</v>
      </c>
      <c r="AC148" s="261">
        <v>3821.0219999999999</v>
      </c>
      <c r="AD148" s="261">
        <v>3847.915</v>
      </c>
      <c r="AE148" s="261">
        <v>3882.7559999999999</v>
      </c>
      <c r="AF148" s="261">
        <v>3889.0050000000001</v>
      </c>
      <c r="AG148" s="261"/>
      <c r="AH148" s="261"/>
      <c r="AI148" s="261"/>
    </row>
    <row r="149" spans="2:35" x14ac:dyDescent="0.25">
      <c r="B149" s="41" t="s">
        <v>133</v>
      </c>
      <c r="C149" s="25">
        <v>0</v>
      </c>
      <c r="D149" s="25">
        <v>0</v>
      </c>
      <c r="E149" s="25">
        <v>0</v>
      </c>
      <c r="F149" s="25">
        <v>0</v>
      </c>
      <c r="G149" s="25">
        <v>0</v>
      </c>
      <c r="H149" s="25">
        <v>0</v>
      </c>
      <c r="I149" s="25">
        <v>0</v>
      </c>
      <c r="J149" s="253">
        <v>0</v>
      </c>
      <c r="K149" s="253">
        <v>0</v>
      </c>
      <c r="L149" s="253">
        <v>1502.998</v>
      </c>
      <c r="M149" s="253">
        <v>1545.297</v>
      </c>
      <c r="N149" s="253">
        <v>1601.444</v>
      </c>
      <c r="O149" s="253">
        <v>1666.14</v>
      </c>
      <c r="P149" s="253">
        <v>1725.3620000000001</v>
      </c>
      <c r="Q149" s="253">
        <v>1780</v>
      </c>
      <c r="R149" s="253">
        <v>1804</v>
      </c>
      <c r="S149" s="253">
        <v>1839</v>
      </c>
      <c r="T149" s="253">
        <v>1886.693</v>
      </c>
      <c r="U149" s="253">
        <v>1936.0989999999999</v>
      </c>
      <c r="V149" s="345">
        <v>1980.4480000000001</v>
      </c>
      <c r="W149" s="345">
        <v>2023.818</v>
      </c>
      <c r="X149" s="345">
        <v>2079.663</v>
      </c>
      <c r="Y149" s="253">
        <f>AE149</f>
        <v>2154.7860000000001</v>
      </c>
      <c r="Z149" s="253"/>
      <c r="AB149" s="345">
        <v>2100.471</v>
      </c>
      <c r="AC149" s="345">
        <v>2109.1849999999999</v>
      </c>
      <c r="AD149" s="345">
        <v>2129.0929999999998</v>
      </c>
      <c r="AE149" s="345">
        <v>2154.7860000000001</v>
      </c>
      <c r="AF149" s="345">
        <v>2149.8620000000001</v>
      </c>
      <c r="AG149" s="345"/>
      <c r="AH149" s="345"/>
      <c r="AI149" s="345"/>
    </row>
    <row r="150" spans="2:35" x14ac:dyDescent="0.25">
      <c r="B150" s="41" t="s">
        <v>136</v>
      </c>
      <c r="C150" s="25">
        <v>0</v>
      </c>
      <c r="D150" s="25">
        <v>0</v>
      </c>
      <c r="E150" s="25">
        <v>0</v>
      </c>
      <c r="F150" s="25">
        <v>0</v>
      </c>
      <c r="G150" s="25">
        <v>0</v>
      </c>
      <c r="H150" s="25">
        <v>0</v>
      </c>
      <c r="I150" s="25">
        <v>0</v>
      </c>
      <c r="J150" s="253">
        <v>0</v>
      </c>
      <c r="K150" s="253">
        <v>0</v>
      </c>
      <c r="L150" s="253">
        <v>1237.713</v>
      </c>
      <c r="M150" s="253">
        <v>1286.3620000000001</v>
      </c>
      <c r="N150" s="253">
        <v>1332.4829999999999</v>
      </c>
      <c r="O150" s="253">
        <v>1378.941</v>
      </c>
      <c r="P150" s="253">
        <v>1426.1410000000001</v>
      </c>
      <c r="Q150" s="253">
        <v>1476</v>
      </c>
      <c r="R150" s="253">
        <v>1512</v>
      </c>
      <c r="S150" s="253">
        <v>1538</v>
      </c>
      <c r="T150" s="253">
        <v>1564.347</v>
      </c>
      <c r="U150" s="253">
        <v>1588.0160000000001</v>
      </c>
      <c r="V150" s="345">
        <v>1620.3330000000001</v>
      </c>
      <c r="W150" s="345">
        <v>1656.624</v>
      </c>
      <c r="X150" s="345">
        <v>1695.2380000000001</v>
      </c>
      <c r="Y150" s="253">
        <f>AE150</f>
        <v>1727.97</v>
      </c>
      <c r="Z150" s="253"/>
      <c r="AB150" s="345">
        <v>1710.105</v>
      </c>
      <c r="AC150" s="345">
        <v>1711.837</v>
      </c>
      <c r="AD150" s="345">
        <v>1718.8219999999999</v>
      </c>
      <c r="AE150" s="345">
        <v>1727.97</v>
      </c>
      <c r="AF150" s="345">
        <v>1739.143</v>
      </c>
      <c r="AG150" s="345"/>
      <c r="AH150" s="345"/>
      <c r="AI150" s="345"/>
    </row>
    <row r="151" spans="2:35" x14ac:dyDescent="0.25">
      <c r="B151" s="41"/>
      <c r="C151" s="25"/>
      <c r="D151" s="25"/>
      <c r="E151" s="25"/>
      <c r="F151" s="25"/>
      <c r="G151" s="25"/>
      <c r="H151" s="25"/>
      <c r="I151" s="25"/>
      <c r="J151" s="253"/>
      <c r="K151" s="253"/>
      <c r="L151" s="253"/>
      <c r="M151" s="253"/>
      <c r="N151" s="253"/>
      <c r="O151" s="253"/>
      <c r="P151" s="253"/>
      <c r="Q151" s="253"/>
      <c r="R151" s="253"/>
      <c r="S151" s="253"/>
      <c r="T151" s="253"/>
      <c r="U151" s="253"/>
      <c r="V151" s="345"/>
      <c r="W151" s="345"/>
      <c r="X151" s="345"/>
      <c r="Y151" s="253"/>
      <c r="Z151" s="253"/>
      <c r="AB151" s="345"/>
      <c r="AC151" s="345"/>
      <c r="AD151" s="345"/>
      <c r="AE151" s="345"/>
      <c r="AF151" s="345"/>
      <c r="AG151" s="345"/>
      <c r="AH151" s="345"/>
      <c r="AI151" s="345"/>
    </row>
    <row r="152" spans="2:35" x14ac:dyDescent="0.25">
      <c r="B152" s="40" t="s">
        <v>174</v>
      </c>
      <c r="C152" s="104">
        <f t="shared" ref="C152:P152" si="71">C148+C144+C139</f>
        <v>0</v>
      </c>
      <c r="D152" s="104">
        <f t="shared" si="71"/>
        <v>0</v>
      </c>
      <c r="E152" s="104">
        <f t="shared" si="71"/>
        <v>0</v>
      </c>
      <c r="F152" s="104">
        <f t="shared" si="71"/>
        <v>0</v>
      </c>
      <c r="G152" s="104">
        <f t="shared" si="71"/>
        <v>0</v>
      </c>
      <c r="H152" s="104">
        <f t="shared" si="71"/>
        <v>0</v>
      </c>
      <c r="I152" s="104">
        <f t="shared" si="71"/>
        <v>0</v>
      </c>
      <c r="J152" s="276">
        <f t="shared" si="71"/>
        <v>0</v>
      </c>
      <c r="K152" s="276">
        <f t="shared" si="71"/>
        <v>0</v>
      </c>
      <c r="L152" s="276">
        <v>9540.7580000000016</v>
      </c>
      <c r="M152" s="276">
        <f>M148+M144+M139</f>
        <v>9625.4540000000015</v>
      </c>
      <c r="N152" s="276">
        <f t="shared" si="71"/>
        <v>9687.7139999999999</v>
      </c>
      <c r="O152" s="276">
        <f>O148+O144+O139</f>
        <v>9779.8630000000012</v>
      </c>
      <c r="P152" s="276">
        <f t="shared" si="71"/>
        <v>9893.59</v>
      </c>
      <c r="Q152" s="276">
        <f>Q148+Q144+Q139</f>
        <v>10024</v>
      </c>
      <c r="R152" s="276">
        <f>R148+R144+R139</f>
        <v>10122</v>
      </c>
      <c r="S152" s="276">
        <f>S148+S144+S139</f>
        <v>10228</v>
      </c>
      <c r="T152" s="260">
        <v>10343.085999999999</v>
      </c>
      <c r="U152" s="260">
        <v>10469.967000000001</v>
      </c>
      <c r="V152" s="261">
        <v>11274.154</v>
      </c>
      <c r="W152" s="261">
        <v>11427.066999999999</v>
      </c>
      <c r="X152" s="261">
        <v>11582.843000000001</v>
      </c>
      <c r="Y152" s="260">
        <f>AE152</f>
        <v>11757.7</v>
      </c>
      <c r="Z152" s="260"/>
      <c r="AB152" s="261">
        <v>11634.205</v>
      </c>
      <c r="AC152" s="261">
        <v>11667.752</v>
      </c>
      <c r="AD152" s="261">
        <v>11711.041999999999</v>
      </c>
      <c r="AE152" s="261">
        <v>11757.7</v>
      </c>
      <c r="AF152" s="261">
        <v>11771.85</v>
      </c>
      <c r="AG152" s="261"/>
      <c r="AH152" s="261"/>
      <c r="AI152" s="261"/>
    </row>
    <row r="153" spans="2:35" x14ac:dyDescent="0.25">
      <c r="B153" s="40"/>
      <c r="C153" s="118"/>
      <c r="D153" s="118"/>
      <c r="E153" s="118"/>
      <c r="F153" s="118"/>
      <c r="G153" s="118"/>
      <c r="H153" s="118"/>
      <c r="I153" s="118"/>
      <c r="J153" s="371"/>
      <c r="K153" s="371"/>
      <c r="L153" s="371"/>
      <c r="M153" s="371"/>
      <c r="N153" s="371"/>
      <c r="O153" s="371"/>
      <c r="P153" s="371"/>
      <c r="Q153" s="371"/>
      <c r="R153" s="371"/>
      <c r="S153" s="371"/>
      <c r="T153" s="371"/>
      <c r="U153" s="371"/>
      <c r="V153" s="292"/>
      <c r="AB153" s="253"/>
      <c r="AC153" s="253"/>
      <c r="AD153" s="292"/>
    </row>
    <row r="154" spans="2:35" x14ac:dyDescent="0.25">
      <c r="B154" s="176" t="s">
        <v>132</v>
      </c>
      <c r="C154" s="61">
        <v>2001</v>
      </c>
      <c r="D154" s="61">
        <v>2002</v>
      </c>
      <c r="E154" s="61">
        <v>2003</v>
      </c>
      <c r="F154" s="61">
        <v>2004</v>
      </c>
      <c r="G154" s="61">
        <v>2005</v>
      </c>
      <c r="H154" s="61">
        <v>2006</v>
      </c>
      <c r="I154" s="61">
        <v>2007</v>
      </c>
      <c r="J154" s="228">
        <v>2008</v>
      </c>
      <c r="K154" s="228">
        <v>2009</v>
      </c>
      <c r="L154" s="228">
        <v>2010</v>
      </c>
      <c r="M154" s="228">
        <v>2011</v>
      </c>
      <c r="N154" s="228">
        <v>2012</v>
      </c>
      <c r="O154" s="228">
        <v>2013</v>
      </c>
      <c r="P154" s="228">
        <v>2014</v>
      </c>
      <c r="Q154" s="228">
        <v>2015</v>
      </c>
      <c r="R154" s="228">
        <v>2016</v>
      </c>
      <c r="S154" s="228">
        <v>2017</v>
      </c>
      <c r="T154" s="228">
        <v>2018</v>
      </c>
      <c r="U154" s="228">
        <v>2019</v>
      </c>
      <c r="V154" s="228">
        <v>2020</v>
      </c>
      <c r="W154" s="228">
        <v>2021</v>
      </c>
      <c r="X154" s="228">
        <v>2021</v>
      </c>
      <c r="Y154" s="229">
        <v>2023</v>
      </c>
      <c r="Z154" s="230">
        <v>2024</v>
      </c>
      <c r="AB154" s="231" t="s">
        <v>291</v>
      </c>
      <c r="AC154" s="231" t="s">
        <v>292</v>
      </c>
      <c r="AD154" s="231" t="s">
        <v>293</v>
      </c>
      <c r="AE154" s="231">
        <v>2023</v>
      </c>
      <c r="AF154" s="232" t="s">
        <v>318</v>
      </c>
      <c r="AG154" s="232" t="s">
        <v>319</v>
      </c>
      <c r="AH154" s="232" t="s">
        <v>320</v>
      </c>
      <c r="AI154" s="232">
        <v>2024</v>
      </c>
    </row>
    <row r="155" spans="2:35" x14ac:dyDescent="0.25">
      <c r="B155" s="34" t="s">
        <v>184</v>
      </c>
      <c r="C155" s="47"/>
      <c r="D155" s="47"/>
      <c r="E155" s="47"/>
      <c r="F155" s="47"/>
      <c r="G155" s="47"/>
      <c r="H155" s="47"/>
      <c r="I155" s="47"/>
      <c r="J155" s="372"/>
      <c r="K155" s="372"/>
      <c r="L155" s="372"/>
      <c r="M155" s="372"/>
      <c r="N155" s="372"/>
      <c r="O155" s="372"/>
      <c r="P155" s="372"/>
      <c r="Q155" s="372"/>
      <c r="R155" s="372"/>
      <c r="S155" s="372"/>
      <c r="T155" s="372"/>
      <c r="U155" s="372"/>
      <c r="V155" s="292"/>
      <c r="AB155" s="349"/>
      <c r="AC155" s="349"/>
      <c r="AD155" s="292"/>
    </row>
    <row r="156" spans="2:35" x14ac:dyDescent="0.25">
      <c r="B156" s="39" t="s">
        <v>51</v>
      </c>
      <c r="C156" s="140" t="s">
        <v>17</v>
      </c>
      <c r="D156" s="140" t="s">
        <v>17</v>
      </c>
      <c r="E156" s="140" t="s">
        <v>17</v>
      </c>
      <c r="F156" s="140" t="s">
        <v>17</v>
      </c>
      <c r="G156" s="140" t="s">
        <v>17</v>
      </c>
      <c r="H156" s="140" t="s">
        <v>17</v>
      </c>
      <c r="I156" s="140" t="s">
        <v>17</v>
      </c>
      <c r="J156" s="395" t="s">
        <v>17</v>
      </c>
      <c r="K156" s="395" t="s">
        <v>17</v>
      </c>
      <c r="L156" s="395" t="s">
        <v>17</v>
      </c>
      <c r="M156" s="395" t="s">
        <v>17</v>
      </c>
      <c r="N156" s="395" t="s">
        <v>17</v>
      </c>
      <c r="O156" s="395" t="s">
        <v>17</v>
      </c>
      <c r="P156" s="395" t="s">
        <v>17</v>
      </c>
      <c r="Q156" s="351">
        <v>9.7000000000000003E-2</v>
      </c>
      <c r="R156" s="351">
        <v>9.5000000000000001E-2</v>
      </c>
      <c r="S156" s="351">
        <v>0.1</v>
      </c>
      <c r="T156" s="351">
        <v>9.6231683603606497E-2</v>
      </c>
      <c r="U156" s="351">
        <v>9.5697113725658325E-2</v>
      </c>
      <c r="V156" s="351" vm="412">
        <v>8.9593000000000006E-2</v>
      </c>
      <c r="W156" s="351" vm="8">
        <v>8.6474058039558183E-2</v>
      </c>
      <c r="X156" s="503" vm="328">
        <v>8.7388559718589803E-2</v>
      </c>
      <c r="Y156" s="503" vm="279">
        <f>AE156</f>
        <v>7.8277224521243693E-2</v>
      </c>
      <c r="Z156" s="373"/>
      <c r="AB156" s="522">
        <v>0.08</v>
      </c>
      <c r="AC156" s="503" vm="446">
        <v>7.6883360667184292E-2</v>
      </c>
      <c r="AD156" s="503" vm="212">
        <v>7.7247092658812896E-2</v>
      </c>
      <c r="AE156" s="503" vm="279">
        <v>7.8277224521243693E-2</v>
      </c>
      <c r="AF156" s="503" vm="480">
        <v>7.9112455641438706E-2</v>
      </c>
      <c r="AG156" s="351"/>
      <c r="AH156" s="351"/>
      <c r="AI156" s="351"/>
    </row>
    <row r="157" spans="2:35" x14ac:dyDescent="0.25">
      <c r="B157" s="39" t="s">
        <v>50</v>
      </c>
      <c r="C157" s="140" t="s">
        <v>17</v>
      </c>
      <c r="D157" s="140" t="s">
        <v>17</v>
      </c>
      <c r="E157" s="140" t="s">
        <v>17</v>
      </c>
      <c r="F157" s="140" t="s">
        <v>17</v>
      </c>
      <c r="G157" s="140" t="s">
        <v>17</v>
      </c>
      <c r="H157" s="140" t="s">
        <v>17</v>
      </c>
      <c r="I157" s="140" t="s">
        <v>17</v>
      </c>
      <c r="J157" s="395" t="s">
        <v>17</v>
      </c>
      <c r="K157" s="395" t="s">
        <v>17</v>
      </c>
      <c r="L157" s="395" t="s">
        <v>17</v>
      </c>
      <c r="M157" s="395" t="s">
        <v>17</v>
      </c>
      <c r="N157" s="395" t="s">
        <v>17</v>
      </c>
      <c r="O157" s="395" t="s">
        <v>17</v>
      </c>
      <c r="P157" s="395" t="s">
        <v>17</v>
      </c>
      <c r="Q157" s="351">
        <v>4.1000000000000002E-2</v>
      </c>
      <c r="R157" s="351">
        <v>0.04</v>
      </c>
      <c r="S157" s="351">
        <v>3.5000000000000003E-2</v>
      </c>
      <c r="T157" s="351">
        <v>3.4127446861680552E-2</v>
      </c>
      <c r="U157" s="351">
        <v>3.6363582026402011E-2</v>
      </c>
      <c r="V157" s="351">
        <v>3.8477847958883413E-2</v>
      </c>
      <c r="W157" s="351" vm="471">
        <v>4.6666709915970252E-2</v>
      </c>
      <c r="X157" s="503" vm="329">
        <v>4.8220390431626084E-2</v>
      </c>
      <c r="Y157" s="503" vm="280">
        <f>AE157</f>
        <v>4.7710651123865001E-2</v>
      </c>
      <c r="Z157" s="373"/>
      <c r="AB157" s="503" vm="60">
        <v>5.8211278935175137E-2</v>
      </c>
      <c r="AC157" s="503" vm="258">
        <v>5.0125276702550119E-2</v>
      </c>
      <c r="AD157" s="503" vm="213">
        <v>4.530198885834659E-2</v>
      </c>
      <c r="AE157" s="503" vm="280">
        <v>4.7710651123865001E-2</v>
      </c>
      <c r="AF157" s="503" vm="481">
        <v>5.934976254734757E-2</v>
      </c>
      <c r="AG157" s="351"/>
      <c r="AH157" s="351"/>
      <c r="AI157" s="351"/>
    </row>
    <row r="158" spans="2:35" x14ac:dyDescent="0.25">
      <c r="B158" s="39" t="s">
        <v>39</v>
      </c>
      <c r="C158" s="27"/>
      <c r="D158" s="27"/>
      <c r="E158" s="27"/>
      <c r="F158" s="27"/>
      <c r="G158" s="27"/>
      <c r="H158" s="27"/>
      <c r="I158" s="27"/>
      <c r="J158" s="292"/>
      <c r="K158" s="292"/>
      <c r="L158" s="292"/>
      <c r="M158" s="292"/>
      <c r="N158" s="292"/>
      <c r="O158" s="292"/>
      <c r="P158" s="292"/>
      <c r="Q158" s="292"/>
      <c r="R158" s="292"/>
      <c r="S158" s="292"/>
      <c r="T158" s="292"/>
      <c r="U158" s="292"/>
      <c r="V158" s="292"/>
      <c r="W158" s="292"/>
      <c r="X158" s="292"/>
      <c r="Y158" s="292"/>
      <c r="Z158" s="292"/>
      <c r="AB158" s="292"/>
      <c r="AC158" s="292"/>
      <c r="AD158" s="292"/>
      <c r="AE158" s="292"/>
      <c r="AF158" s="292"/>
      <c r="AG158" s="292"/>
      <c r="AH158" s="292"/>
      <c r="AI158" s="292"/>
    </row>
    <row r="159" spans="2:35" x14ac:dyDescent="0.25">
      <c r="B159" s="37" t="s">
        <v>133</v>
      </c>
      <c r="C159" s="105" t="s">
        <v>17</v>
      </c>
      <c r="D159" s="105" t="s">
        <v>17</v>
      </c>
      <c r="E159" s="105" t="s">
        <v>17</v>
      </c>
      <c r="F159" s="105" t="s">
        <v>17</v>
      </c>
      <c r="G159" s="105" t="s">
        <v>17</v>
      </c>
      <c r="H159" s="105" t="s">
        <v>17</v>
      </c>
      <c r="I159" s="105" t="s">
        <v>17</v>
      </c>
      <c r="J159" s="291" t="s">
        <v>17</v>
      </c>
      <c r="K159" s="291" t="s">
        <v>17</v>
      </c>
      <c r="L159" s="291" t="s">
        <v>17</v>
      </c>
      <c r="M159" s="291" t="s">
        <v>17</v>
      </c>
      <c r="N159" s="291" t="s">
        <v>17</v>
      </c>
      <c r="O159" s="291" t="s">
        <v>17</v>
      </c>
      <c r="P159" s="291" t="s">
        <v>17</v>
      </c>
      <c r="Q159" s="292">
        <v>0.09</v>
      </c>
      <c r="R159" s="292">
        <v>8.8999999999999996E-2</v>
      </c>
      <c r="S159" s="292">
        <v>8.6999999999999994E-2</v>
      </c>
      <c r="T159" s="292">
        <v>8.4331929999999999E-2</v>
      </c>
      <c r="U159" s="292">
        <v>8.1080310000000003E-2</v>
      </c>
      <c r="V159" s="292">
        <v>8.5695999999999994E-2</v>
      </c>
      <c r="W159" s="292">
        <v>8.2916281830423294E-2</v>
      </c>
      <c r="X159" s="292">
        <v>7.9066954888097479E-2</v>
      </c>
      <c r="Y159" s="292">
        <f t="shared" ref="Y159:Y164" si="72">AE159</f>
        <v>7.1972836473468998E-2</v>
      </c>
      <c r="Z159" s="292"/>
      <c r="AB159" s="292">
        <v>8.6765453391720676E-2</v>
      </c>
      <c r="AC159" s="292">
        <v>7.764654875376964E-2</v>
      </c>
      <c r="AD159" s="292">
        <v>7.6193742269068984E-2</v>
      </c>
      <c r="AE159" s="292">
        <v>7.1972836473468998E-2</v>
      </c>
      <c r="AF159" s="292">
        <v>7.1942547912007868E-2</v>
      </c>
      <c r="AG159" s="292"/>
      <c r="AH159" s="292"/>
      <c r="AI159" s="292"/>
    </row>
    <row r="160" spans="2:35" x14ac:dyDescent="0.25">
      <c r="B160" s="38" t="s">
        <v>134</v>
      </c>
      <c r="C160" s="105" t="s">
        <v>17</v>
      </c>
      <c r="D160" s="105" t="s">
        <v>17</v>
      </c>
      <c r="E160" s="105" t="s">
        <v>17</v>
      </c>
      <c r="F160" s="105" t="s">
        <v>17</v>
      </c>
      <c r="G160" s="105" t="s">
        <v>17</v>
      </c>
      <c r="H160" s="105" t="s">
        <v>17</v>
      </c>
      <c r="I160" s="105" t="s">
        <v>17</v>
      </c>
      <c r="J160" s="291" t="s">
        <v>17</v>
      </c>
      <c r="K160" s="291" t="s">
        <v>17</v>
      </c>
      <c r="L160" s="291" t="s">
        <v>17</v>
      </c>
      <c r="M160" s="291" t="s">
        <v>17</v>
      </c>
      <c r="N160" s="291" t="s">
        <v>17</v>
      </c>
      <c r="O160" s="291" t="s">
        <v>17</v>
      </c>
      <c r="P160" s="291" t="s">
        <v>17</v>
      </c>
      <c r="Q160" s="292">
        <v>5.3999999999999999E-2</v>
      </c>
      <c r="R160" s="292">
        <v>5.5E-2</v>
      </c>
      <c r="S160" s="292">
        <v>5.5E-2</v>
      </c>
      <c r="T160" s="292">
        <v>5.5890500000000003E-2</v>
      </c>
      <c r="U160" s="292">
        <v>5.642875E-2</v>
      </c>
      <c r="V160" s="292">
        <v>5.5381E-2</v>
      </c>
      <c r="W160" s="292" vm="7">
        <v>5.755060025291861E-2</v>
      </c>
      <c r="X160" s="502" vm="53">
        <v>3.5718473739906303E-2</v>
      </c>
      <c r="Y160" s="502" vm="281">
        <f t="shared" si="72"/>
        <v>3.6320997690456686E-2</v>
      </c>
      <c r="Z160" s="292"/>
      <c r="AB160" s="502" vm="277">
        <v>3.8068284273372083E-2</v>
      </c>
      <c r="AC160" s="502" vm="447">
        <v>3.6683701072617834E-2</v>
      </c>
      <c r="AD160" s="502" vm="288">
        <v>3.6646655608778597E-2</v>
      </c>
      <c r="AE160" s="502" vm="281">
        <v>3.6320997690456686E-2</v>
      </c>
      <c r="AF160" s="502" vm="482">
        <v>3.7992706528367295E-2</v>
      </c>
      <c r="AG160" s="292"/>
      <c r="AH160" s="292"/>
      <c r="AI160" s="292"/>
    </row>
    <row r="161" spans="2:35" x14ac:dyDescent="0.25">
      <c r="B161" s="38" t="s">
        <v>135</v>
      </c>
      <c r="C161" s="105" t="s">
        <v>17</v>
      </c>
      <c r="D161" s="105" t="s">
        <v>17</v>
      </c>
      <c r="E161" s="105" t="s">
        <v>17</v>
      </c>
      <c r="F161" s="105" t="s">
        <v>17</v>
      </c>
      <c r="G161" s="105" t="s">
        <v>17</v>
      </c>
      <c r="H161" s="105" t="s">
        <v>17</v>
      </c>
      <c r="I161" s="105" t="s">
        <v>17</v>
      </c>
      <c r="J161" s="291" t="s">
        <v>17</v>
      </c>
      <c r="K161" s="291" t="s">
        <v>17</v>
      </c>
      <c r="L161" s="291" t="s">
        <v>17</v>
      </c>
      <c r="M161" s="291" t="s">
        <v>17</v>
      </c>
      <c r="N161" s="291" t="s">
        <v>17</v>
      </c>
      <c r="O161" s="291" t="s">
        <v>17</v>
      </c>
      <c r="P161" s="291" t="s">
        <v>17</v>
      </c>
      <c r="Q161" s="292">
        <v>3.5999999999999997E-2</v>
      </c>
      <c r="R161" s="292">
        <v>3.4000000000000002E-2</v>
      </c>
      <c r="S161" s="292">
        <v>3.2000000000000001E-2</v>
      </c>
      <c r="T161" s="292">
        <v>2.844143E-2</v>
      </c>
      <c r="U161" s="292">
        <v>2.4651559999999999E-2</v>
      </c>
      <c r="V161" s="292">
        <v>3.0315000000000002E-2</v>
      </c>
      <c r="W161" s="292" vm="472">
        <v>2.5365681577504677E-2</v>
      </c>
      <c r="X161" s="502" vm="54">
        <v>4.3348481148191176E-2</v>
      </c>
      <c r="Y161" s="502" vm="282">
        <f t="shared" si="72"/>
        <v>3.5651838783012313E-2</v>
      </c>
      <c r="Z161" s="292"/>
      <c r="AB161" s="502" vm="61">
        <v>4.8697169118348586E-2</v>
      </c>
      <c r="AC161" s="502" vm="439">
        <v>4.0962847681151805E-2</v>
      </c>
      <c r="AD161" s="502" vm="214">
        <v>3.9547086660290387E-2</v>
      </c>
      <c r="AE161" s="502" vm="282">
        <v>3.5651838783012313E-2</v>
      </c>
      <c r="AF161" s="502" vm="483">
        <v>3.3949841383640572E-2</v>
      </c>
      <c r="AG161" s="292"/>
      <c r="AH161" s="292"/>
      <c r="AI161" s="292"/>
    </row>
    <row r="162" spans="2:35" x14ac:dyDescent="0.25">
      <c r="B162" s="37" t="s">
        <v>136</v>
      </c>
      <c r="C162" s="105" t="s">
        <v>17</v>
      </c>
      <c r="D162" s="105" t="s">
        <v>17</v>
      </c>
      <c r="E162" s="105" t="s">
        <v>17</v>
      </c>
      <c r="F162" s="105" t="s">
        <v>17</v>
      </c>
      <c r="G162" s="105" t="s">
        <v>17</v>
      </c>
      <c r="H162" s="105" t="s">
        <v>17</v>
      </c>
      <c r="I162" s="105" t="s">
        <v>17</v>
      </c>
      <c r="J162" s="291" t="s">
        <v>17</v>
      </c>
      <c r="K162" s="291" t="s">
        <v>17</v>
      </c>
      <c r="L162" s="291" t="s">
        <v>17</v>
      </c>
      <c r="M162" s="291" t="s">
        <v>17</v>
      </c>
      <c r="N162" s="291" t="s">
        <v>17</v>
      </c>
      <c r="O162" s="291" t="s">
        <v>17</v>
      </c>
      <c r="P162" s="291" t="s">
        <v>17</v>
      </c>
      <c r="Q162" s="292">
        <v>0.13500000000000001</v>
      </c>
      <c r="R162" s="292">
        <v>0.13900000000000001</v>
      </c>
      <c r="S162" s="292">
        <v>0.13</v>
      </c>
      <c r="T162" s="292">
        <v>0.11935841999999999</v>
      </c>
      <c r="U162" s="292">
        <v>0.1245378</v>
      </c>
      <c r="V162" s="292">
        <v>0.13392199999999999</v>
      </c>
      <c r="W162" s="292">
        <v>0.12411351310377056</v>
      </c>
      <c r="X162" s="292">
        <v>0.11946419349546938</v>
      </c>
      <c r="Y162" s="292">
        <f t="shared" si="72"/>
        <v>0.11834329642742686</v>
      </c>
      <c r="Z162" s="292"/>
      <c r="AB162" s="292">
        <v>0.13888172079899608</v>
      </c>
      <c r="AC162" s="292">
        <v>0.11538061942578012</v>
      </c>
      <c r="AD162" s="292">
        <v>0.11685885144299546</v>
      </c>
      <c r="AE162" s="292">
        <v>0.11834329642742686</v>
      </c>
      <c r="AF162" s="292">
        <v>0.12130065466797545</v>
      </c>
      <c r="AG162" s="292"/>
      <c r="AH162" s="292"/>
      <c r="AI162" s="292"/>
    </row>
    <row r="163" spans="2:35" x14ac:dyDescent="0.25">
      <c r="B163" s="45" t="s">
        <v>134</v>
      </c>
      <c r="C163" s="105" t="s">
        <v>17</v>
      </c>
      <c r="D163" s="105" t="s">
        <v>17</v>
      </c>
      <c r="E163" s="105" t="s">
        <v>17</v>
      </c>
      <c r="F163" s="105" t="s">
        <v>17</v>
      </c>
      <c r="G163" s="105" t="s">
        <v>17</v>
      </c>
      <c r="H163" s="105" t="s">
        <v>17</v>
      </c>
      <c r="I163" s="105" t="s">
        <v>17</v>
      </c>
      <c r="J163" s="291" t="s">
        <v>17</v>
      </c>
      <c r="K163" s="291" t="s">
        <v>17</v>
      </c>
      <c r="L163" s="291" t="s">
        <v>17</v>
      </c>
      <c r="M163" s="291" t="s">
        <v>17</v>
      </c>
      <c r="N163" s="291" t="s">
        <v>17</v>
      </c>
      <c r="O163" s="291" t="s">
        <v>17</v>
      </c>
      <c r="P163" s="291" t="s">
        <v>17</v>
      </c>
      <c r="Q163" s="292">
        <v>8.2000000000000003E-2</v>
      </c>
      <c r="R163" s="292">
        <v>8.5999999999999993E-2</v>
      </c>
      <c r="S163" s="292">
        <v>8.3000000000000004E-2</v>
      </c>
      <c r="T163" s="292">
        <v>7.5310240000000001E-2</v>
      </c>
      <c r="U163" s="292">
        <v>7.858801E-2</v>
      </c>
      <c r="V163" s="292">
        <v>8.2380999999999996E-2</v>
      </c>
      <c r="W163" s="292" vm="140">
        <v>7.758802362040923E-2</v>
      </c>
      <c r="X163" s="502" vm="52">
        <v>6.9880999180956957E-2</v>
      </c>
      <c r="Y163" s="502" vm="283">
        <f t="shared" si="72"/>
        <v>6.6678722221169828E-2</v>
      </c>
      <c r="Z163" s="292"/>
      <c r="AB163" s="502" vm="59">
        <v>7.30025276024793E-2</v>
      </c>
      <c r="AC163" s="502" vm="448">
        <v>6.915133201612321E-2</v>
      </c>
      <c r="AD163" s="502" vm="276">
        <v>6.768237600661639E-2</v>
      </c>
      <c r="AE163" s="502" vm="283">
        <v>6.6678722221169828E-2</v>
      </c>
      <c r="AF163" s="502" vm="484">
        <v>7.243625749346233E-2</v>
      </c>
      <c r="AG163" s="292"/>
      <c r="AH163" s="292"/>
      <c r="AI163" s="292"/>
    </row>
    <row r="164" spans="2:35" x14ac:dyDescent="0.25">
      <c r="B164" s="45" t="s">
        <v>135</v>
      </c>
      <c r="C164" s="105" t="s">
        <v>17</v>
      </c>
      <c r="D164" s="105" t="s">
        <v>17</v>
      </c>
      <c r="E164" s="105" t="s">
        <v>17</v>
      </c>
      <c r="F164" s="105" t="s">
        <v>17</v>
      </c>
      <c r="G164" s="105" t="s">
        <v>17</v>
      </c>
      <c r="H164" s="105" t="s">
        <v>17</v>
      </c>
      <c r="I164" s="105" t="s">
        <v>17</v>
      </c>
      <c r="J164" s="291" t="s">
        <v>17</v>
      </c>
      <c r="K164" s="291" t="s">
        <v>17</v>
      </c>
      <c r="L164" s="291" t="s">
        <v>17</v>
      </c>
      <c r="M164" s="291" t="s">
        <v>17</v>
      </c>
      <c r="N164" s="291" t="s">
        <v>17</v>
      </c>
      <c r="O164" s="291" t="s">
        <v>17</v>
      </c>
      <c r="P164" s="291" t="s">
        <v>17</v>
      </c>
      <c r="Q164" s="292">
        <v>5.2999999999999999E-2</v>
      </c>
      <c r="R164" s="292">
        <v>5.2999999999999999E-2</v>
      </c>
      <c r="S164" s="292">
        <v>4.7E-2</v>
      </c>
      <c r="T164" s="292">
        <v>4.4048179999999999E-2</v>
      </c>
      <c r="U164" s="292">
        <v>4.5949789999999997E-2</v>
      </c>
      <c r="V164" s="292">
        <v>5.1540999999999997E-2</v>
      </c>
      <c r="W164" s="292" vm="9">
        <v>4.6525489483361319E-2</v>
      </c>
      <c r="X164" s="502" vm="330">
        <v>4.9583194314512427E-2</v>
      </c>
      <c r="Y164" s="502" vm="284">
        <f t="shared" si="72"/>
        <v>5.1664574206257037E-2</v>
      </c>
      <c r="Z164" s="292"/>
      <c r="AB164" s="502" vm="278">
        <v>6.5879193196516764E-2</v>
      </c>
      <c r="AC164" s="502" vm="259">
        <v>4.6229287409656913E-2</v>
      </c>
      <c r="AD164" s="502" vm="289">
        <v>4.9176475436379062E-2</v>
      </c>
      <c r="AE164" s="502" vm="284">
        <v>5.1664574206257037E-2</v>
      </c>
      <c r="AF164" s="502" vm="485">
        <v>4.8864397174513116E-2</v>
      </c>
      <c r="AG164" s="292"/>
      <c r="AH164" s="292"/>
      <c r="AI164" s="292"/>
    </row>
    <row r="165" spans="2:35" x14ac:dyDescent="0.25">
      <c r="B165" s="45"/>
      <c r="C165" s="27"/>
      <c r="D165" s="27"/>
      <c r="E165" s="27"/>
      <c r="F165" s="27"/>
      <c r="G165" s="27"/>
      <c r="H165" s="27"/>
      <c r="I165" s="27"/>
      <c r="J165" s="292"/>
      <c r="K165" s="292"/>
      <c r="L165" s="292"/>
      <c r="M165" s="292"/>
      <c r="N165" s="292"/>
      <c r="O165" s="292"/>
      <c r="P165" s="292"/>
      <c r="Q165" s="292"/>
      <c r="R165" s="292"/>
      <c r="S165" s="292"/>
      <c r="T165" s="292"/>
      <c r="U165" s="292"/>
      <c r="V165" s="292"/>
      <c r="W165" s="292"/>
      <c r="X165" s="292"/>
      <c r="Y165" s="292"/>
      <c r="Z165" s="292"/>
      <c r="AB165" s="292"/>
      <c r="AC165" s="292"/>
      <c r="AD165" s="292"/>
      <c r="AE165" s="292"/>
      <c r="AF165" s="292"/>
      <c r="AG165" s="292"/>
      <c r="AH165" s="292"/>
      <c r="AI165" s="292"/>
    </row>
    <row r="166" spans="2:35" x14ac:dyDescent="0.25">
      <c r="B166" s="34" t="s">
        <v>137</v>
      </c>
      <c r="C166" s="27"/>
      <c r="D166" s="27"/>
      <c r="E166" s="27"/>
      <c r="F166" s="27"/>
      <c r="G166" s="27"/>
      <c r="H166" s="27"/>
      <c r="I166" s="27"/>
      <c r="J166" s="292"/>
      <c r="K166" s="292"/>
      <c r="L166" s="292"/>
      <c r="M166" s="292"/>
      <c r="N166" s="292"/>
      <c r="O166" s="292"/>
      <c r="P166" s="292"/>
      <c r="Q166" s="292"/>
      <c r="R166" s="292"/>
      <c r="S166" s="292"/>
      <c r="T166" s="292"/>
      <c r="U166" s="292"/>
      <c r="V166" s="292"/>
      <c r="W166" s="292"/>
      <c r="X166" s="292"/>
      <c r="Y166" s="292"/>
      <c r="Z166" s="292"/>
      <c r="AB166" s="292"/>
      <c r="AC166" s="292"/>
      <c r="AD166" s="292"/>
      <c r="AE166" s="292"/>
      <c r="AF166" s="292"/>
      <c r="AG166" s="292"/>
      <c r="AH166" s="292"/>
      <c r="AI166" s="292"/>
    </row>
    <row r="167" spans="2:35" x14ac:dyDescent="0.25">
      <c r="B167" s="1" t="s">
        <v>51</v>
      </c>
      <c r="C167" s="105" t="s">
        <v>17</v>
      </c>
      <c r="D167" s="105" t="s">
        <v>17</v>
      </c>
      <c r="E167" s="105" t="s">
        <v>17</v>
      </c>
      <c r="F167" s="105" t="s">
        <v>17</v>
      </c>
      <c r="G167" s="105" t="s">
        <v>17</v>
      </c>
      <c r="H167" s="105" t="s">
        <v>17</v>
      </c>
      <c r="I167" s="105" t="s">
        <v>17</v>
      </c>
      <c r="J167" s="291" t="s">
        <v>17</v>
      </c>
      <c r="K167" s="291" t="s">
        <v>17</v>
      </c>
      <c r="L167" s="291" t="s">
        <v>17</v>
      </c>
      <c r="M167" s="291" t="s">
        <v>17</v>
      </c>
      <c r="N167" s="291" t="s">
        <v>17</v>
      </c>
      <c r="O167" s="291" t="s">
        <v>17</v>
      </c>
      <c r="P167" s="291" t="s">
        <v>17</v>
      </c>
      <c r="Q167" s="291" t="s">
        <v>17</v>
      </c>
      <c r="R167" s="291" t="s">
        <v>17</v>
      </c>
      <c r="S167" s="291" t="s">
        <v>17</v>
      </c>
      <c r="T167" s="291" t="s">
        <v>17</v>
      </c>
      <c r="U167" s="292">
        <v>0.44067396063479503</v>
      </c>
      <c r="V167" s="292">
        <v>0.50110527961179119</v>
      </c>
      <c r="W167" s="292">
        <v>0.58372286945025675</v>
      </c>
      <c r="X167" s="292">
        <v>0.5794447180992538</v>
      </c>
      <c r="Y167" s="292">
        <f>AE167</f>
        <v>0.65457420919841192</v>
      </c>
      <c r="Z167" s="292"/>
      <c r="AB167" s="292">
        <v>0.62021412027300615</v>
      </c>
      <c r="AC167" s="292">
        <v>0.64766305290094472</v>
      </c>
      <c r="AD167" s="292">
        <v>0.64998375088429583</v>
      </c>
      <c r="AE167" s="292">
        <v>0.65457420919841192</v>
      </c>
      <c r="AF167" s="292">
        <v>0.69666508236752023</v>
      </c>
      <c r="AG167" s="292"/>
      <c r="AH167" s="292"/>
      <c r="AI167" s="292"/>
    </row>
    <row r="168" spans="2:35" x14ac:dyDescent="0.25">
      <c r="B168" t="s">
        <v>50</v>
      </c>
      <c r="C168" s="105" t="s">
        <v>17</v>
      </c>
      <c r="D168" s="105" t="s">
        <v>17</v>
      </c>
      <c r="E168" s="105" t="s">
        <v>17</v>
      </c>
      <c r="F168" s="105" t="s">
        <v>17</v>
      </c>
      <c r="G168" s="105" t="s">
        <v>17</v>
      </c>
      <c r="H168" s="105" t="s">
        <v>17</v>
      </c>
      <c r="I168" s="105" t="s">
        <v>17</v>
      </c>
      <c r="J168" s="291" t="s">
        <v>17</v>
      </c>
      <c r="K168" s="291" t="s">
        <v>17</v>
      </c>
      <c r="L168" s="291" t="s">
        <v>17</v>
      </c>
      <c r="M168" s="291" t="s">
        <v>17</v>
      </c>
      <c r="N168" s="291" t="s">
        <v>17</v>
      </c>
      <c r="O168" s="291" t="s">
        <v>17</v>
      </c>
      <c r="P168" s="291" t="s">
        <v>17</v>
      </c>
      <c r="Q168" s="291" t="s">
        <v>17</v>
      </c>
      <c r="R168" s="291" t="s">
        <v>17</v>
      </c>
      <c r="S168" s="291" t="s">
        <v>17</v>
      </c>
      <c r="T168" s="291" t="s">
        <v>17</v>
      </c>
      <c r="U168" s="292">
        <v>0.99529833728858252</v>
      </c>
      <c r="V168" s="292">
        <v>0.98852960825018876</v>
      </c>
      <c r="W168" s="292">
        <v>0.99153639018161288</v>
      </c>
      <c r="X168" s="292">
        <v>0.73413515646934313</v>
      </c>
      <c r="Y168" s="292">
        <f>AE168</f>
        <v>0.71073862887429418</v>
      </c>
      <c r="Z168" s="292"/>
      <c r="AB168" s="292">
        <v>0.74362447437844759</v>
      </c>
      <c r="AC168" s="292">
        <v>0.73202168110362531</v>
      </c>
      <c r="AD168" s="292">
        <v>0.71753470635249528</v>
      </c>
      <c r="AE168" s="292">
        <v>0.71073862887429418</v>
      </c>
      <c r="AF168" s="292">
        <v>0.65778273559238198</v>
      </c>
      <c r="AG168" s="292"/>
      <c r="AH168" s="292"/>
      <c r="AI168" s="292"/>
    </row>
    <row r="169" spans="2:35" x14ac:dyDescent="0.25">
      <c r="C169" s="27"/>
      <c r="D169" s="27"/>
      <c r="E169" s="27"/>
      <c r="F169" s="27"/>
      <c r="G169" s="27"/>
      <c r="H169" s="27"/>
      <c r="I169" s="27"/>
      <c r="J169" s="292"/>
      <c r="K169" s="292"/>
      <c r="L169" s="292"/>
      <c r="M169" s="292"/>
      <c r="N169" s="292"/>
      <c r="O169" s="292"/>
      <c r="P169" s="292"/>
      <c r="Q169" s="292"/>
      <c r="R169" s="292"/>
      <c r="S169" s="292"/>
      <c r="T169" s="292"/>
      <c r="U169" s="292"/>
      <c r="V169" s="292"/>
      <c r="W169" s="292"/>
      <c r="X169" s="292"/>
      <c r="Y169" s="292"/>
      <c r="Z169" s="292"/>
      <c r="AB169" s="292"/>
      <c r="AC169" s="292"/>
      <c r="AD169" s="292"/>
      <c r="AE169" s="292"/>
      <c r="AF169" s="292"/>
      <c r="AG169" s="292"/>
      <c r="AH169" s="292"/>
      <c r="AI169" s="292"/>
    </row>
    <row r="170" spans="2:35" x14ac:dyDescent="0.25">
      <c r="B170" s="48" t="s">
        <v>138</v>
      </c>
      <c r="C170" s="27"/>
      <c r="D170" s="27"/>
      <c r="E170" s="27"/>
      <c r="F170" s="27"/>
      <c r="G170" s="27"/>
      <c r="H170" s="27"/>
      <c r="I170" s="27"/>
      <c r="J170" s="292"/>
      <c r="K170" s="292"/>
      <c r="L170" s="292"/>
      <c r="M170" s="292"/>
      <c r="N170" s="292"/>
      <c r="O170" s="292"/>
      <c r="P170" s="292"/>
      <c r="Q170" s="292"/>
      <c r="R170" s="292"/>
      <c r="S170" s="292"/>
      <c r="T170" s="292"/>
      <c r="U170" s="292"/>
      <c r="V170" s="351"/>
      <c r="W170" s="292"/>
      <c r="X170" s="292"/>
      <c r="Y170" s="292"/>
      <c r="Z170" s="292"/>
      <c r="AB170" s="292"/>
      <c r="AC170" s="292"/>
      <c r="AD170" s="292"/>
      <c r="AE170" s="292"/>
      <c r="AF170" s="292"/>
      <c r="AG170" s="292"/>
      <c r="AH170" s="292"/>
      <c r="AI170" s="292"/>
    </row>
    <row r="171" spans="2:35" x14ac:dyDescent="0.25">
      <c r="B171" s="51" t="s">
        <v>51</v>
      </c>
      <c r="C171" s="105" t="s">
        <v>17</v>
      </c>
      <c r="D171" s="105" t="s">
        <v>17</v>
      </c>
      <c r="E171" s="105" t="s">
        <v>17</v>
      </c>
      <c r="F171" s="105" t="s">
        <v>17</v>
      </c>
      <c r="G171" s="105" t="s">
        <v>17</v>
      </c>
      <c r="H171" s="105" t="s">
        <v>17</v>
      </c>
      <c r="I171" s="105" t="s">
        <v>17</v>
      </c>
      <c r="J171" s="291" t="s">
        <v>17</v>
      </c>
      <c r="K171" s="291" t="s">
        <v>17</v>
      </c>
      <c r="L171" s="291" t="s">
        <v>17</v>
      </c>
      <c r="M171" s="291" t="s">
        <v>17</v>
      </c>
      <c r="N171" s="291" t="s">
        <v>17</v>
      </c>
      <c r="O171" s="291" t="s">
        <v>17</v>
      </c>
      <c r="P171" s="291" t="s">
        <v>17</v>
      </c>
      <c r="Q171" s="291" t="s">
        <v>17</v>
      </c>
      <c r="R171" s="291" t="s">
        <v>17</v>
      </c>
      <c r="S171" s="291" t="s">
        <v>17</v>
      </c>
      <c r="T171" s="292">
        <v>0.69</v>
      </c>
      <c r="U171" s="292">
        <v>0.72888082245845032</v>
      </c>
      <c r="V171" s="292">
        <v>0.74532180354008692</v>
      </c>
      <c r="W171" s="292">
        <v>0.76559596362231641</v>
      </c>
      <c r="X171" s="292">
        <v>0.82881341452432422</v>
      </c>
      <c r="Y171" s="292">
        <f>AE171</f>
        <v>0.88133662993928941</v>
      </c>
      <c r="Z171" s="292"/>
      <c r="AB171" s="292">
        <v>0.84418641228133884</v>
      </c>
      <c r="AC171" s="292">
        <v>0.86210449981500115</v>
      </c>
      <c r="AD171" s="292">
        <v>0.86210449981500115</v>
      </c>
      <c r="AE171" s="292">
        <v>0.88133662993928941</v>
      </c>
      <c r="AF171" s="292">
        <v>0.92237302121335119</v>
      </c>
      <c r="AG171" s="292"/>
      <c r="AH171" s="292"/>
      <c r="AI171" s="292"/>
    </row>
    <row r="172" spans="2:35" x14ac:dyDescent="0.25">
      <c r="B172" s="46" t="s">
        <v>50</v>
      </c>
      <c r="C172" s="105" t="s">
        <v>17</v>
      </c>
      <c r="D172" s="105" t="s">
        <v>17</v>
      </c>
      <c r="E172" s="105" t="s">
        <v>17</v>
      </c>
      <c r="F172" s="105" t="s">
        <v>17</v>
      </c>
      <c r="G172" s="105" t="s">
        <v>17</v>
      </c>
      <c r="H172" s="105" t="s">
        <v>17</v>
      </c>
      <c r="I172" s="105" t="s">
        <v>17</v>
      </c>
      <c r="J172" s="291" t="s">
        <v>17</v>
      </c>
      <c r="K172" s="291" t="s">
        <v>17</v>
      </c>
      <c r="L172" s="291" t="s">
        <v>17</v>
      </c>
      <c r="M172" s="291" t="s">
        <v>17</v>
      </c>
      <c r="N172" s="291" t="s">
        <v>17</v>
      </c>
      <c r="O172" s="291" t="s">
        <v>17</v>
      </c>
      <c r="P172" s="291" t="s">
        <v>17</v>
      </c>
      <c r="Q172" s="291" t="s">
        <v>17</v>
      </c>
      <c r="R172" s="291" t="s">
        <v>17</v>
      </c>
      <c r="S172" s="291" t="s">
        <v>17</v>
      </c>
      <c r="T172" s="292" t="s">
        <v>350</v>
      </c>
      <c r="U172" s="292">
        <v>1</v>
      </c>
      <c r="V172" s="292">
        <v>1</v>
      </c>
      <c r="W172" s="292">
        <v>0.99351652194183804</v>
      </c>
      <c r="X172" s="292">
        <v>0.99720568476016735</v>
      </c>
      <c r="Y172" s="292">
        <f>AE172</f>
        <v>0.99388022345734572</v>
      </c>
      <c r="Z172" s="292"/>
      <c r="AB172" s="292">
        <v>0.99301686646827569</v>
      </c>
      <c r="AC172" s="292">
        <v>0.99305254063786386</v>
      </c>
      <c r="AD172" s="292">
        <v>0.99353892469164584</v>
      </c>
      <c r="AE172" s="292">
        <v>0.99388022345734572</v>
      </c>
      <c r="AF172" s="292">
        <v>0.99440449963656707</v>
      </c>
      <c r="AG172" s="292"/>
      <c r="AH172" s="292"/>
      <c r="AI172" s="292"/>
    </row>
    <row r="173" spans="2:35" x14ac:dyDescent="0.25">
      <c r="B173" s="46"/>
      <c r="C173" s="120"/>
      <c r="D173" s="120"/>
      <c r="E173" s="120"/>
      <c r="F173" s="120"/>
      <c r="G173" s="120"/>
      <c r="H173" s="120"/>
      <c r="I173" s="120"/>
      <c r="J173" s="375"/>
      <c r="K173" s="375"/>
      <c r="L173" s="375"/>
      <c r="M173" s="375"/>
      <c r="N173" s="375"/>
      <c r="O173" s="375"/>
      <c r="P173" s="375"/>
      <c r="Q173" s="375"/>
      <c r="R173" s="375"/>
      <c r="S173" s="375"/>
      <c r="T173" s="375"/>
      <c r="U173" s="375"/>
      <c r="V173" s="292"/>
      <c r="AB173" s="253"/>
      <c r="AC173" s="253"/>
      <c r="AD173" s="292"/>
    </row>
    <row r="174" spans="2:35" x14ac:dyDescent="0.25">
      <c r="B174" s="179" t="s">
        <v>139</v>
      </c>
      <c r="C174" s="61">
        <v>2001</v>
      </c>
      <c r="D174" s="61">
        <v>2002</v>
      </c>
      <c r="E174" s="61">
        <v>2003</v>
      </c>
      <c r="F174" s="61">
        <v>2004</v>
      </c>
      <c r="G174" s="61">
        <v>2005</v>
      </c>
      <c r="H174" s="61">
        <v>2006</v>
      </c>
      <c r="I174" s="61">
        <v>2007</v>
      </c>
      <c r="J174" s="228">
        <v>2008</v>
      </c>
      <c r="K174" s="228">
        <v>2009</v>
      </c>
      <c r="L174" s="228">
        <v>2010</v>
      </c>
      <c r="M174" s="228">
        <v>2011</v>
      </c>
      <c r="N174" s="228">
        <v>2012</v>
      </c>
      <c r="O174" s="228">
        <v>2013</v>
      </c>
      <c r="P174" s="228">
        <v>2014</v>
      </c>
      <c r="Q174" s="228">
        <v>2015</v>
      </c>
      <c r="R174" s="228">
        <v>2016</v>
      </c>
      <c r="S174" s="228">
        <v>2017</v>
      </c>
      <c r="T174" s="228">
        <v>2018</v>
      </c>
      <c r="U174" s="228">
        <v>2019</v>
      </c>
      <c r="V174" s="228">
        <v>2020</v>
      </c>
      <c r="W174" s="228">
        <v>2021</v>
      </c>
      <c r="X174" s="228">
        <v>2022</v>
      </c>
      <c r="Y174" s="229">
        <v>2023</v>
      </c>
      <c r="Z174" s="230">
        <v>2024</v>
      </c>
      <c r="AB174" s="231" t="s">
        <v>291</v>
      </c>
      <c r="AC174" s="231" t="s">
        <v>292</v>
      </c>
      <c r="AD174" s="231" t="s">
        <v>293</v>
      </c>
      <c r="AE174" s="231">
        <v>2023</v>
      </c>
      <c r="AF174" s="232" t="s">
        <v>318</v>
      </c>
      <c r="AG174" s="232" t="s">
        <v>319</v>
      </c>
      <c r="AH174" s="232" t="s">
        <v>320</v>
      </c>
      <c r="AI174" s="232">
        <v>2024</v>
      </c>
    </row>
    <row r="175" spans="2:35" x14ac:dyDescent="0.25">
      <c r="B175" s="48" t="s">
        <v>51</v>
      </c>
      <c r="C175" s="26">
        <v>0</v>
      </c>
      <c r="D175" s="26">
        <v>0</v>
      </c>
      <c r="E175" s="26">
        <v>0</v>
      </c>
      <c r="F175" s="26">
        <v>0</v>
      </c>
      <c r="G175" s="26">
        <v>0</v>
      </c>
      <c r="H175" s="26">
        <v>0</v>
      </c>
      <c r="I175" s="26">
        <v>0</v>
      </c>
      <c r="J175" s="260">
        <v>0</v>
      </c>
      <c r="K175" s="260">
        <v>0</v>
      </c>
      <c r="L175" s="260">
        <v>47836.162185740977</v>
      </c>
      <c r="M175" s="260">
        <v>46508.316016356795</v>
      </c>
      <c r="N175" s="260">
        <v>44653.81966570692</v>
      </c>
      <c r="O175" s="260">
        <v>43858.187953054905</v>
      </c>
      <c r="P175" s="260">
        <v>43808.215470746101</v>
      </c>
      <c r="Q175" s="260">
        <f>Q176+Q177+Q178</f>
        <v>44277</v>
      </c>
      <c r="R175" s="260">
        <f>R176+R177+R178</f>
        <v>44599</v>
      </c>
      <c r="S175" s="260">
        <f>S176+S177+S178</f>
        <v>44748</v>
      </c>
      <c r="T175" s="260">
        <v>46058.884367194987</v>
      </c>
      <c r="U175" s="260">
        <v>45666.473784279187</v>
      </c>
      <c r="V175" s="260">
        <v>44142.807206436002</v>
      </c>
      <c r="W175" s="260">
        <v>44752.004502915996</v>
      </c>
      <c r="X175" s="260">
        <v>45494.451231786996</v>
      </c>
      <c r="Y175" s="260">
        <f>AE175</f>
        <v>45977.877195959009</v>
      </c>
      <c r="Z175" s="260"/>
      <c r="AB175" s="260">
        <v>12179.237888537</v>
      </c>
      <c r="AC175" s="260">
        <v>22922.136772900001</v>
      </c>
      <c r="AD175" s="260">
        <v>34140.557012088</v>
      </c>
      <c r="AE175" s="260">
        <v>45977.877195959009</v>
      </c>
      <c r="AF175" s="260">
        <v>12284.682515649001</v>
      </c>
      <c r="AG175" s="260"/>
      <c r="AH175" s="260"/>
      <c r="AI175" s="260"/>
    </row>
    <row r="176" spans="2:35" x14ac:dyDescent="0.25">
      <c r="B176" s="41" t="s">
        <v>146</v>
      </c>
      <c r="C176" s="25">
        <v>0</v>
      </c>
      <c r="D176" s="25">
        <v>0</v>
      </c>
      <c r="E176" s="25">
        <v>0</v>
      </c>
      <c r="F176" s="25">
        <v>0</v>
      </c>
      <c r="G176" s="25">
        <v>0</v>
      </c>
      <c r="H176" s="25">
        <v>0</v>
      </c>
      <c r="I176" s="25">
        <v>0</v>
      </c>
      <c r="J176" s="253">
        <v>0</v>
      </c>
      <c r="K176" s="253">
        <v>0</v>
      </c>
      <c r="L176" s="253">
        <v>1523.7382063289997</v>
      </c>
      <c r="M176" s="253">
        <v>1774.7020604000006</v>
      </c>
      <c r="N176" s="253">
        <v>1901.2691349999998</v>
      </c>
      <c r="O176" s="253">
        <v>2094.9450020000004</v>
      </c>
      <c r="P176" s="253">
        <v>2112.6291889999998</v>
      </c>
      <c r="Q176" s="253">
        <v>2173.5</v>
      </c>
      <c r="R176" s="253">
        <v>2115</v>
      </c>
      <c r="S176" s="253">
        <v>2158</v>
      </c>
      <c r="T176" s="253">
        <v>2365.6874869999997</v>
      </c>
      <c r="U176" s="253">
        <v>2343.5984089999997</v>
      </c>
      <c r="V176" s="253">
        <v>2461.3719180000003</v>
      </c>
      <c r="W176" s="253">
        <v>2282.270614</v>
      </c>
      <c r="X176" s="253">
        <v>2241.5415560000001</v>
      </c>
      <c r="Y176" s="253">
        <f>AE176</f>
        <v>2367.8323230000005</v>
      </c>
      <c r="Z176" s="253"/>
      <c r="AB176" s="253">
        <v>594.79143600000009</v>
      </c>
      <c r="AC176" s="253">
        <v>1222.7026740000001</v>
      </c>
      <c r="AD176" s="253">
        <v>1774.926103</v>
      </c>
      <c r="AE176" s="253">
        <v>2367.8323230000005</v>
      </c>
      <c r="AF176" s="253">
        <v>628.427504</v>
      </c>
      <c r="AG176" s="253"/>
      <c r="AH176" s="253"/>
      <c r="AI176" s="253"/>
    </row>
    <row r="177" spans="2:35" x14ac:dyDescent="0.25">
      <c r="B177" s="41" t="s">
        <v>140</v>
      </c>
      <c r="C177" s="25">
        <v>0</v>
      </c>
      <c r="D177" s="25">
        <v>0</v>
      </c>
      <c r="E177" s="25">
        <v>0</v>
      </c>
      <c r="F177" s="25">
        <v>0</v>
      </c>
      <c r="G177" s="25">
        <v>0</v>
      </c>
      <c r="H177" s="25">
        <v>0</v>
      </c>
      <c r="I177" s="25">
        <v>0</v>
      </c>
      <c r="J177" s="253">
        <v>0</v>
      </c>
      <c r="K177" s="253">
        <v>0</v>
      </c>
      <c r="L177" s="253">
        <v>21007.529265069265</v>
      </c>
      <c r="M177" s="253">
        <v>20767.10992958572</v>
      </c>
      <c r="N177" s="253">
        <v>20299.563863288</v>
      </c>
      <c r="O177" s="253">
        <v>20441.681369177997</v>
      </c>
      <c r="P177" s="253">
        <v>20730.354919060999</v>
      </c>
      <c r="Q177" s="253">
        <v>21034.5</v>
      </c>
      <c r="R177" s="253">
        <v>21026</v>
      </c>
      <c r="S177" s="253">
        <v>21715</v>
      </c>
      <c r="T177" s="253">
        <v>21996.233549510995</v>
      </c>
      <c r="U177" s="253">
        <v>21997.891750938699</v>
      </c>
      <c r="V177" s="253">
        <v>20705.516617846999</v>
      </c>
      <c r="W177" s="253">
        <v>21234.228221525998</v>
      </c>
      <c r="X177" s="253">
        <v>21757.558752575002</v>
      </c>
      <c r="Y177" s="253">
        <f>AE177</f>
        <v>21374.262294022003</v>
      </c>
      <c r="Z177" s="253"/>
      <c r="AB177" s="253">
        <v>5262.538525551</v>
      </c>
      <c r="AC177" s="253">
        <v>10599.471187657</v>
      </c>
      <c r="AD177" s="253">
        <v>16064.453393684002</v>
      </c>
      <c r="AE177" s="253">
        <v>21374.262294022003</v>
      </c>
      <c r="AF177" s="253">
        <v>5327.6911855410008</v>
      </c>
      <c r="AG177" s="253"/>
      <c r="AH177" s="253"/>
      <c r="AI177" s="253"/>
    </row>
    <row r="178" spans="2:35" x14ac:dyDescent="0.25">
      <c r="B178" s="41" t="s">
        <v>141</v>
      </c>
      <c r="C178" s="25">
        <v>0</v>
      </c>
      <c r="D178" s="25">
        <v>0</v>
      </c>
      <c r="E178" s="25">
        <v>0</v>
      </c>
      <c r="F178" s="25">
        <v>0</v>
      </c>
      <c r="G178" s="25">
        <v>0</v>
      </c>
      <c r="H178" s="25">
        <v>0</v>
      </c>
      <c r="I178" s="25">
        <v>0</v>
      </c>
      <c r="J178" s="253">
        <v>0</v>
      </c>
      <c r="K178" s="253">
        <v>0</v>
      </c>
      <c r="L178" s="253">
        <v>25304.894714342714</v>
      </c>
      <c r="M178" s="253">
        <v>23966.50402637108</v>
      </c>
      <c r="N178" s="253">
        <v>22452.986667418922</v>
      </c>
      <c r="O178" s="253">
        <v>21321.561581876907</v>
      </c>
      <c r="P178" s="253">
        <v>20965.231362685103</v>
      </c>
      <c r="Q178" s="253">
        <v>21069</v>
      </c>
      <c r="R178" s="253">
        <v>21458</v>
      </c>
      <c r="S178" s="253">
        <v>20875</v>
      </c>
      <c r="T178" s="253">
        <v>21696.963330683997</v>
      </c>
      <c r="U178" s="253">
        <v>21324.98362434049</v>
      </c>
      <c r="V178" s="253">
        <v>20975.918670589002</v>
      </c>
      <c r="W178" s="253">
        <v>21235.50566739</v>
      </c>
      <c r="X178" s="253">
        <v>21495.350923211998</v>
      </c>
      <c r="Y178" s="253">
        <f>AE178</f>
        <v>22235.782578937004</v>
      </c>
      <c r="Z178" s="253"/>
      <c r="AB178" s="253">
        <v>6321.9079269859994</v>
      </c>
      <c r="AC178" s="253">
        <v>11099.962911243001</v>
      </c>
      <c r="AD178" s="253">
        <v>16301.177515403997</v>
      </c>
      <c r="AE178" s="253">
        <v>22235.782578937004</v>
      </c>
      <c r="AF178" s="253">
        <v>6328.5638261080003</v>
      </c>
      <c r="AG178" s="253"/>
      <c r="AH178" s="253"/>
      <c r="AI178" s="253"/>
    </row>
    <row r="179" spans="2:35" x14ac:dyDescent="0.25">
      <c r="B179" s="41"/>
      <c r="C179" s="25"/>
      <c r="D179" s="25"/>
      <c r="E179" s="25"/>
      <c r="F179" s="25"/>
      <c r="G179" s="25"/>
      <c r="H179" s="25"/>
      <c r="I179" s="25"/>
      <c r="J179" s="253"/>
      <c r="K179" s="253"/>
      <c r="L179" s="253"/>
      <c r="M179" s="253"/>
      <c r="N179" s="253"/>
      <c r="O179" s="253"/>
      <c r="P179" s="253"/>
      <c r="Q179" s="253"/>
      <c r="R179" s="253"/>
      <c r="S179" s="253"/>
      <c r="T179" s="253"/>
      <c r="U179" s="253"/>
      <c r="V179" s="260"/>
      <c r="W179" s="260"/>
      <c r="X179" s="260"/>
      <c r="Y179" s="253"/>
      <c r="Z179" s="253"/>
      <c r="AB179" s="260"/>
      <c r="AC179" s="260"/>
      <c r="AD179" s="260"/>
      <c r="AE179" s="260"/>
      <c r="AF179" s="260"/>
      <c r="AG179" s="260"/>
      <c r="AH179" s="260"/>
      <c r="AI179" s="260"/>
    </row>
    <row r="180" spans="2:35" x14ac:dyDescent="0.25">
      <c r="B180" s="34" t="s">
        <v>50</v>
      </c>
      <c r="C180" s="26">
        <v>0</v>
      </c>
      <c r="D180" s="26">
        <v>0</v>
      </c>
      <c r="E180" s="26">
        <v>0</v>
      </c>
      <c r="F180" s="26">
        <v>0</v>
      </c>
      <c r="G180" s="26">
        <v>0</v>
      </c>
      <c r="H180" s="26">
        <v>0</v>
      </c>
      <c r="I180" s="26">
        <v>0</v>
      </c>
      <c r="J180" s="260">
        <v>0</v>
      </c>
      <c r="K180" s="260">
        <v>0</v>
      </c>
      <c r="L180" s="260">
        <v>9320</v>
      </c>
      <c r="M180" s="260">
        <v>9516.56</v>
      </c>
      <c r="N180" s="260">
        <v>9003.02</v>
      </c>
      <c r="O180" s="260">
        <v>9147.36</v>
      </c>
      <c r="P180" s="260">
        <v>9176.85</v>
      </c>
      <c r="Q180" s="260">
        <f>Q181+Q182</f>
        <v>9168</v>
      </c>
      <c r="R180" s="260">
        <f>R181+R182</f>
        <v>9190</v>
      </c>
      <c r="S180" s="260">
        <f>S181+S182</f>
        <v>9331</v>
      </c>
      <c r="T180" s="260">
        <v>9360.379332549619</v>
      </c>
      <c r="U180" s="260">
        <v>8261.5793805285102</v>
      </c>
      <c r="V180" s="260">
        <v>7558.9973057150009</v>
      </c>
      <c r="W180" s="260">
        <v>14116.703346885999</v>
      </c>
      <c r="X180" s="260">
        <v>13285.903787007999</v>
      </c>
      <c r="Y180" s="260">
        <f>AE180</f>
        <v>12682.462229151999</v>
      </c>
      <c r="Z180" s="260"/>
      <c r="AB180" s="260">
        <v>3255.2902309649999</v>
      </c>
      <c r="AC180" s="260">
        <v>6354.1225266410001</v>
      </c>
      <c r="AD180" s="260">
        <v>9472.926239294</v>
      </c>
      <c r="AE180" s="260">
        <v>12682.462229151999</v>
      </c>
      <c r="AF180" s="260">
        <v>3336.5729170160002</v>
      </c>
      <c r="AG180" s="260"/>
      <c r="AH180" s="260"/>
      <c r="AI180" s="260"/>
    </row>
    <row r="181" spans="2:35" x14ac:dyDescent="0.25">
      <c r="B181" s="41" t="s">
        <v>140</v>
      </c>
      <c r="C181" s="25">
        <v>0</v>
      </c>
      <c r="D181" s="25">
        <v>0</v>
      </c>
      <c r="E181" s="25">
        <v>0</v>
      </c>
      <c r="F181" s="25">
        <v>0</v>
      </c>
      <c r="G181" s="25">
        <v>0</v>
      </c>
      <c r="H181" s="25">
        <v>0</v>
      </c>
      <c r="I181" s="25">
        <v>0</v>
      </c>
      <c r="J181" s="253">
        <v>0</v>
      </c>
      <c r="K181" s="253">
        <v>0</v>
      </c>
      <c r="L181" s="253">
        <v>6674</v>
      </c>
      <c r="M181" s="253">
        <v>7094.16</v>
      </c>
      <c r="N181" s="253">
        <v>6512.33</v>
      </c>
      <c r="O181" s="253">
        <v>6664.49</v>
      </c>
      <c r="P181" s="253">
        <v>6794.75</v>
      </c>
      <c r="Q181" s="253">
        <v>6945</v>
      </c>
      <c r="R181" s="253">
        <v>6946</v>
      </c>
      <c r="S181" s="253">
        <v>7109</v>
      </c>
      <c r="T181" s="253">
        <v>7110.0330977642898</v>
      </c>
      <c r="U181" s="253">
        <v>6032.15385233291</v>
      </c>
      <c r="V181" s="253">
        <v>5426.5935930000005</v>
      </c>
      <c r="W181" s="253">
        <v>9986.7962710009997</v>
      </c>
      <c r="X181" s="253">
        <v>9371.515664999999</v>
      </c>
      <c r="Y181" s="253">
        <f>AE181</f>
        <v>8760.341677638</v>
      </c>
      <c r="Z181" s="253"/>
      <c r="AB181" s="253">
        <v>2201.1899080000003</v>
      </c>
      <c r="AC181" s="253">
        <v>4404.1109034000001</v>
      </c>
      <c r="AD181" s="253">
        <v>6580.3954366379994</v>
      </c>
      <c r="AE181" s="253">
        <v>8760.341677638</v>
      </c>
      <c r="AF181" s="253">
        <v>2263.276496</v>
      </c>
      <c r="AG181" s="253"/>
      <c r="AH181" s="253"/>
      <c r="AI181" s="253"/>
    </row>
    <row r="182" spans="2:35" x14ac:dyDescent="0.25">
      <c r="B182" s="41" t="s">
        <v>141</v>
      </c>
      <c r="C182" s="25">
        <v>0</v>
      </c>
      <c r="D182" s="25">
        <v>0</v>
      </c>
      <c r="E182" s="25">
        <v>0</v>
      </c>
      <c r="F182" s="25">
        <v>0</v>
      </c>
      <c r="G182" s="25">
        <v>0</v>
      </c>
      <c r="H182" s="25">
        <v>0</v>
      </c>
      <c r="I182" s="25">
        <v>0</v>
      </c>
      <c r="J182" s="253">
        <v>0</v>
      </c>
      <c r="K182" s="253">
        <v>0</v>
      </c>
      <c r="L182" s="253">
        <v>2646</v>
      </c>
      <c r="M182" s="253">
        <v>2422.4</v>
      </c>
      <c r="N182" s="253">
        <v>2490.69</v>
      </c>
      <c r="O182" s="253">
        <v>2482.87</v>
      </c>
      <c r="P182" s="253">
        <v>2382.1</v>
      </c>
      <c r="Q182" s="253">
        <v>2223</v>
      </c>
      <c r="R182" s="253">
        <v>2244</v>
      </c>
      <c r="S182" s="253">
        <v>2222</v>
      </c>
      <c r="T182" s="253">
        <v>2250.3462347853301</v>
      </c>
      <c r="U182" s="253">
        <v>2229.4255281956002</v>
      </c>
      <c r="V182" s="253">
        <v>2132.4037127150004</v>
      </c>
      <c r="W182" s="253">
        <v>4129.9070758850003</v>
      </c>
      <c r="X182" s="253">
        <v>3914.3881220080007</v>
      </c>
      <c r="Y182" s="253">
        <f>AE182</f>
        <v>3922.1205515139995</v>
      </c>
      <c r="Z182" s="253"/>
      <c r="AB182" s="253">
        <v>1054.1003229649998</v>
      </c>
      <c r="AC182" s="253">
        <v>1950.0116232409996</v>
      </c>
      <c r="AD182" s="253">
        <v>2892.5308026559997</v>
      </c>
      <c r="AE182" s="253">
        <v>3922.1205515139995</v>
      </c>
      <c r="AF182" s="253">
        <v>1073.2964210160001</v>
      </c>
      <c r="AG182" s="253"/>
      <c r="AH182" s="253"/>
      <c r="AI182" s="253"/>
    </row>
    <row r="183" spans="2:35" x14ac:dyDescent="0.25">
      <c r="B183" s="41"/>
      <c r="C183" s="25"/>
      <c r="D183" s="25"/>
      <c r="E183" s="25"/>
      <c r="F183" s="25"/>
      <c r="G183" s="25"/>
      <c r="H183" s="25"/>
      <c r="I183" s="25"/>
      <c r="J183" s="253"/>
      <c r="K183" s="253"/>
      <c r="L183" s="253"/>
      <c r="M183" s="253"/>
      <c r="N183" s="253"/>
      <c r="O183" s="253"/>
      <c r="P183" s="253"/>
      <c r="Q183" s="253"/>
      <c r="R183" s="253"/>
      <c r="S183" s="253"/>
      <c r="T183" s="253"/>
      <c r="U183" s="253"/>
      <c r="V183" s="260"/>
      <c r="W183" s="260"/>
      <c r="X183" s="260"/>
      <c r="Y183" s="253"/>
      <c r="Z183" s="253"/>
      <c r="AB183" s="260"/>
      <c r="AC183" s="260"/>
      <c r="AD183" s="260"/>
      <c r="AE183" s="260"/>
      <c r="AF183" s="260"/>
      <c r="AG183" s="260"/>
      <c r="AH183" s="260"/>
      <c r="AI183" s="260"/>
    </row>
    <row r="184" spans="2:35" x14ac:dyDescent="0.25">
      <c r="B184" s="34" t="s">
        <v>39</v>
      </c>
      <c r="C184" s="26">
        <v>0</v>
      </c>
      <c r="D184" s="26">
        <v>0</v>
      </c>
      <c r="E184" s="26">
        <v>0</v>
      </c>
      <c r="F184" s="26">
        <v>0</v>
      </c>
      <c r="G184" s="26">
        <v>0</v>
      </c>
      <c r="H184" s="26">
        <v>0</v>
      </c>
      <c r="I184" s="26">
        <v>0</v>
      </c>
      <c r="J184" s="260">
        <v>0</v>
      </c>
      <c r="K184" s="260">
        <v>0</v>
      </c>
      <c r="L184" s="260">
        <v>23748.900296291002</v>
      </c>
      <c r="M184" s="260">
        <v>24543.705012759616</v>
      </c>
      <c r="N184" s="260">
        <v>24922.810352480948</v>
      </c>
      <c r="O184" s="260">
        <v>25880.300815399998</v>
      </c>
      <c r="P184" s="260">
        <v>26443.121351299997</v>
      </c>
      <c r="Q184" s="260">
        <f>Q185+Q186+Q187</f>
        <v>25396</v>
      </c>
      <c r="R184" s="260">
        <f>R185+R186+R187</f>
        <v>24424.799999999999</v>
      </c>
      <c r="S184" s="260">
        <f>S185+S186+S187</f>
        <v>24704</v>
      </c>
      <c r="T184" s="260">
        <v>25006.845590034191</v>
      </c>
      <c r="U184" s="260">
        <v>25591.223426515528</v>
      </c>
      <c r="V184" s="260">
        <v>24421</v>
      </c>
      <c r="W184" s="260">
        <v>26015.931676027001</v>
      </c>
      <c r="X184" s="260">
        <v>26491.322074858006</v>
      </c>
      <c r="Y184" s="260">
        <f>AE184</f>
        <v>27777.512648584001</v>
      </c>
      <c r="Z184" s="260"/>
      <c r="AB184" s="260">
        <v>6866.1253563809987</v>
      </c>
      <c r="AC184" s="260">
        <v>13586.293384385999</v>
      </c>
      <c r="AD184" s="260">
        <v>20314.117563954002</v>
      </c>
      <c r="AE184" s="260">
        <v>27777.512648584001</v>
      </c>
      <c r="AF184" s="260">
        <v>7308.2860633489991</v>
      </c>
      <c r="AG184" s="260"/>
      <c r="AH184" s="260"/>
      <c r="AI184" s="260"/>
    </row>
    <row r="185" spans="2:35" x14ac:dyDescent="0.25">
      <c r="B185" s="41" t="s">
        <v>156</v>
      </c>
      <c r="C185" s="25">
        <v>0</v>
      </c>
      <c r="D185" s="25">
        <v>0</v>
      </c>
      <c r="E185" s="25">
        <v>0</v>
      </c>
      <c r="F185" s="25">
        <v>0</v>
      </c>
      <c r="G185" s="25">
        <v>0</v>
      </c>
      <c r="H185" s="25">
        <v>0</v>
      </c>
      <c r="I185" s="25">
        <v>0</v>
      </c>
      <c r="J185" s="253">
        <v>0</v>
      </c>
      <c r="K185" s="253">
        <v>0</v>
      </c>
      <c r="L185" s="253">
        <v>9034.0080040000012</v>
      </c>
      <c r="M185" s="253">
        <v>9413.9346869406163</v>
      </c>
      <c r="N185" s="253">
        <v>9305.1876075498785</v>
      </c>
      <c r="O185" s="253">
        <v>9891.9624626000004</v>
      </c>
      <c r="P185" s="253">
        <v>9903.4208980999992</v>
      </c>
      <c r="Q185" s="253">
        <v>9354</v>
      </c>
      <c r="R185" s="253">
        <v>9063</v>
      </c>
      <c r="S185" s="253">
        <v>10488</v>
      </c>
      <c r="T185" s="253">
        <v>11173.044852031358</v>
      </c>
      <c r="U185" s="253">
        <v>11389.168486841751</v>
      </c>
      <c r="V185" s="253">
        <v>10992</v>
      </c>
      <c r="W185" s="253">
        <v>12450.758695522998</v>
      </c>
      <c r="X185" s="253">
        <v>12737.459962085999</v>
      </c>
      <c r="Y185" s="253">
        <f>AE185</f>
        <v>13471.066256078002</v>
      </c>
      <c r="Z185" s="253"/>
      <c r="AB185" s="253">
        <v>3237.2300079160004</v>
      </c>
      <c r="AC185" s="253">
        <v>6490.1788213780001</v>
      </c>
      <c r="AD185" s="253">
        <v>9868.5657300859984</v>
      </c>
      <c r="AE185" s="253">
        <v>13471.066256078002</v>
      </c>
      <c r="AF185" s="253">
        <v>3581.8383233609998</v>
      </c>
      <c r="AG185" s="253"/>
      <c r="AH185" s="253"/>
      <c r="AI185" s="253"/>
    </row>
    <row r="186" spans="2:35" x14ac:dyDescent="0.25">
      <c r="B186" s="41" t="s">
        <v>157</v>
      </c>
      <c r="C186" s="25">
        <v>0</v>
      </c>
      <c r="D186" s="25">
        <v>0</v>
      </c>
      <c r="E186" s="25">
        <v>0</v>
      </c>
      <c r="F186" s="25">
        <v>0</v>
      </c>
      <c r="G186" s="25">
        <v>0</v>
      </c>
      <c r="H186" s="25">
        <v>0</v>
      </c>
      <c r="I186" s="25">
        <v>0</v>
      </c>
      <c r="J186" s="253">
        <v>0</v>
      </c>
      <c r="K186" s="253">
        <v>0</v>
      </c>
      <c r="L186" s="253">
        <v>4290.504069347</v>
      </c>
      <c r="M186" s="253">
        <v>4289.8404199500001</v>
      </c>
      <c r="N186" s="253">
        <v>4084.6331004760004</v>
      </c>
      <c r="O186" s="253">
        <v>3921.9147002999998</v>
      </c>
      <c r="P186" s="253">
        <v>3828.9422788000002</v>
      </c>
      <c r="Q186" s="253">
        <v>3470</v>
      </c>
      <c r="R186" s="253">
        <v>2745.4</v>
      </c>
      <c r="S186" s="253">
        <v>2060</v>
      </c>
      <c r="T186" s="253">
        <v>1890.3064438720003</v>
      </c>
      <c r="U186" s="253">
        <v>1718.5116513369999</v>
      </c>
      <c r="V186" s="253">
        <v>1405.4386526870001</v>
      </c>
      <c r="W186" s="253">
        <v>1366.628102162</v>
      </c>
      <c r="X186" s="253">
        <v>1201.52932177</v>
      </c>
      <c r="Y186" s="253">
        <f>AE186</f>
        <v>1032.9087058809982</v>
      </c>
      <c r="Z186" s="253"/>
      <c r="AB186" s="253">
        <v>267.76932370600002</v>
      </c>
      <c r="AC186" s="253">
        <v>524.34728342300002</v>
      </c>
      <c r="AD186" s="253">
        <v>781.59280307000017</v>
      </c>
      <c r="AE186" s="253">
        <v>1032.9087058809982</v>
      </c>
      <c r="AF186" s="253">
        <v>224.98057074561257</v>
      </c>
      <c r="AG186" s="253"/>
      <c r="AH186" s="253"/>
      <c r="AI186" s="253"/>
    </row>
    <row r="187" spans="2:35" x14ac:dyDescent="0.25">
      <c r="B187" s="41" t="s">
        <v>158</v>
      </c>
      <c r="C187" s="25">
        <v>0</v>
      </c>
      <c r="D187" s="25">
        <v>0</v>
      </c>
      <c r="E187" s="25">
        <v>0</v>
      </c>
      <c r="F187" s="25">
        <v>0</v>
      </c>
      <c r="G187" s="25">
        <v>0</v>
      </c>
      <c r="H187" s="25">
        <v>0</v>
      </c>
      <c r="I187" s="25">
        <v>0</v>
      </c>
      <c r="J187" s="253">
        <v>0</v>
      </c>
      <c r="K187" s="253">
        <v>0</v>
      </c>
      <c r="L187" s="253">
        <v>10424.388222944001</v>
      </c>
      <c r="M187" s="253">
        <v>10839.929905868999</v>
      </c>
      <c r="N187" s="253">
        <v>11532.989644455069</v>
      </c>
      <c r="O187" s="253">
        <v>12066.4236525</v>
      </c>
      <c r="P187" s="253">
        <v>12710.758174399998</v>
      </c>
      <c r="Q187" s="253">
        <v>12572</v>
      </c>
      <c r="R187" s="253">
        <v>12616.4</v>
      </c>
      <c r="S187" s="253">
        <v>12156</v>
      </c>
      <c r="T187" s="253">
        <v>11943.494294130831</v>
      </c>
      <c r="U187" s="253">
        <v>12483.543288336778</v>
      </c>
      <c r="V187" s="253">
        <v>12023.647012121999</v>
      </c>
      <c r="W187" s="253">
        <v>12220.374414122001</v>
      </c>
      <c r="X187" s="253">
        <v>12552.600299687001</v>
      </c>
      <c r="Y187" s="253">
        <f>AE187</f>
        <v>13273.537686625001</v>
      </c>
      <c r="Z187" s="253"/>
      <c r="AB187" s="253">
        <v>3361.3823197599995</v>
      </c>
      <c r="AC187" s="253">
        <v>6572.0235745859991</v>
      </c>
      <c r="AD187" s="253">
        <v>9664.2153258059989</v>
      </c>
      <c r="AE187" s="253">
        <v>13273.537686625001</v>
      </c>
      <c r="AF187" s="253">
        <v>3501.4671692423867</v>
      </c>
      <c r="AG187" s="253"/>
      <c r="AH187" s="253"/>
      <c r="AI187" s="253"/>
    </row>
    <row r="188" spans="2:35" x14ac:dyDescent="0.25">
      <c r="B188" s="41"/>
      <c r="C188" s="25"/>
      <c r="D188" s="25"/>
      <c r="E188" s="25"/>
      <c r="F188" s="25"/>
      <c r="G188" s="25"/>
      <c r="H188" s="25"/>
      <c r="I188" s="25"/>
      <c r="J188" s="253"/>
      <c r="K188" s="253"/>
      <c r="L188" s="253"/>
      <c r="M188" s="253"/>
      <c r="N188" s="253"/>
      <c r="O188" s="253"/>
      <c r="P188" s="253"/>
      <c r="Q188" s="253"/>
      <c r="R188" s="253"/>
      <c r="S188" s="253"/>
      <c r="T188" s="253"/>
      <c r="U188" s="253"/>
      <c r="V188" s="253"/>
      <c r="W188" s="253"/>
      <c r="X188" s="253"/>
      <c r="Y188" s="253"/>
      <c r="Z188" s="253"/>
      <c r="AB188" s="253"/>
      <c r="AC188" s="253"/>
      <c r="AD188" s="253"/>
      <c r="AE188" s="253"/>
      <c r="AF188" s="253"/>
      <c r="AG188" s="253"/>
      <c r="AH188" s="253"/>
      <c r="AI188" s="253"/>
    </row>
    <row r="189" spans="2:35" x14ac:dyDescent="0.25">
      <c r="B189" s="40" t="s">
        <v>174</v>
      </c>
      <c r="C189" s="26">
        <f t="shared" ref="C189:P189" si="73">C184+C180+C175</f>
        <v>0</v>
      </c>
      <c r="D189" s="26">
        <f t="shared" si="73"/>
        <v>0</v>
      </c>
      <c r="E189" s="26">
        <f t="shared" si="73"/>
        <v>0</v>
      </c>
      <c r="F189" s="26">
        <f t="shared" si="73"/>
        <v>0</v>
      </c>
      <c r="G189" s="26">
        <f t="shared" si="73"/>
        <v>0</v>
      </c>
      <c r="H189" s="26">
        <f t="shared" si="73"/>
        <v>0</v>
      </c>
      <c r="I189" s="26">
        <f t="shared" si="73"/>
        <v>0</v>
      </c>
      <c r="J189" s="260">
        <f t="shared" si="73"/>
        <v>0</v>
      </c>
      <c r="K189" s="260">
        <f t="shared" si="73"/>
        <v>0</v>
      </c>
      <c r="L189" s="260">
        <f t="shared" si="73"/>
        <v>80905.062482031979</v>
      </c>
      <c r="M189" s="260">
        <f>M184+M180+M175</f>
        <v>80568.581029116409</v>
      </c>
      <c r="N189" s="260">
        <f t="shared" si="73"/>
        <v>78579.650018187865</v>
      </c>
      <c r="O189" s="260">
        <f>O184+O180+O175</f>
        <v>78885.848768454904</v>
      </c>
      <c r="P189" s="260">
        <f t="shared" si="73"/>
        <v>79428.186822046089</v>
      </c>
      <c r="Q189" s="260">
        <f>Q184+Q180+Q175</f>
        <v>78841</v>
      </c>
      <c r="R189" s="260">
        <f>R184+R180+R175</f>
        <v>78213.8</v>
      </c>
      <c r="S189" s="260">
        <f>S184+S180+S175</f>
        <v>78783</v>
      </c>
      <c r="T189" s="260">
        <v>80426.109289778804</v>
      </c>
      <c r="U189" s="260">
        <f>+U175+U180+U184</f>
        <v>79519.276591323229</v>
      </c>
      <c r="V189" s="260">
        <v>76123</v>
      </c>
      <c r="W189" s="260">
        <v>84884.639525828999</v>
      </c>
      <c r="X189" s="260">
        <v>85271.677093653008</v>
      </c>
      <c r="Y189" s="260">
        <f>AE189</f>
        <v>86437.852073695016</v>
      </c>
      <c r="Z189" s="260"/>
      <c r="AB189" s="260">
        <v>22300.653475882998</v>
      </c>
      <c r="AC189" s="260">
        <v>42862.552683927002</v>
      </c>
      <c r="AD189" s="260">
        <v>63927.600815336002</v>
      </c>
      <c r="AE189" s="260">
        <v>86437.852073695016</v>
      </c>
      <c r="AF189" s="260">
        <v>22929.541496014001</v>
      </c>
      <c r="AG189" s="260"/>
      <c r="AH189" s="260"/>
      <c r="AI189" s="260"/>
    </row>
    <row r="190" spans="2:35" x14ac:dyDescent="0.25">
      <c r="C190" s="28"/>
      <c r="D190" s="28"/>
      <c r="E190" s="28"/>
      <c r="F190" s="28"/>
      <c r="G190" s="28"/>
      <c r="H190" s="28"/>
      <c r="I190" s="28"/>
    </row>
  </sheetData>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tabColor rgb="FF384B77"/>
  </sheetPr>
  <dimension ref="A1:XDW270"/>
  <sheetViews>
    <sheetView showGridLines="0" zoomScale="75" zoomScaleNormal="75" workbookViewId="0">
      <pane xSplit="19" ySplit="3" topLeftCell="T249" activePane="bottomRight" state="frozen"/>
      <selection activeCell="B2" sqref="B2"/>
      <selection pane="topRight" activeCell="B2" sqref="B2"/>
      <selection pane="bottomLeft" activeCell="B2" sqref="B2"/>
      <selection pane="bottomRight" activeCell="B275" sqref="B275"/>
    </sheetView>
  </sheetViews>
  <sheetFormatPr defaultColWidth="9.140625" defaultRowHeight="15" customHeight="1" x14ac:dyDescent="0.25"/>
  <cols>
    <col min="1" max="1" width="5.5703125" style="78" customWidth="1"/>
    <col min="2" max="2" width="45.42578125" style="78" customWidth="1"/>
    <col min="3" max="17" width="9.140625" style="78" hidden="1" customWidth="1"/>
    <col min="18" max="18" width="3.28515625" style="78" hidden="1" customWidth="1"/>
    <col min="19" max="19" width="5.85546875" style="78" hidden="1" customWidth="1"/>
    <col min="20" max="21" width="9.140625" style="354" customWidth="1"/>
    <col min="22" max="26" width="9.140625" style="354"/>
    <col min="27" max="27" width="9.140625" style="223"/>
    <col min="28" max="31" width="9.140625" style="354"/>
    <col min="32" max="35" width="9.5703125" style="354" customWidth="1"/>
    <col min="36" max="36" width="9.140625" style="223"/>
    <col min="37" max="44" width="9.140625" style="354"/>
    <col min="45" max="51" width="9.140625" style="223"/>
    <col min="53" max="16384" width="9.140625" style="78"/>
  </cols>
  <sheetData>
    <row r="1" spans="2:52" ht="5.0999999999999996" customHeight="1" x14ac:dyDescent="0.25">
      <c r="AA1" s="354"/>
      <c r="AJ1" s="354"/>
      <c r="AS1" s="354"/>
      <c r="AT1" s="354"/>
      <c r="AU1" s="354"/>
      <c r="AV1" s="354"/>
      <c r="AW1" s="354"/>
      <c r="AX1" s="354"/>
      <c r="AY1" s="354"/>
      <c r="AZ1" s="78"/>
    </row>
    <row r="2" spans="2:52" customFormat="1" ht="36" x14ac:dyDescent="0.25">
      <c r="B2" s="171" t="s">
        <v>116</v>
      </c>
      <c r="C2" s="171"/>
      <c r="D2" s="171"/>
      <c r="E2" s="171"/>
      <c r="F2" s="171"/>
      <c r="G2" s="171"/>
      <c r="H2" s="171"/>
      <c r="I2" s="171"/>
      <c r="J2" s="171"/>
      <c r="K2" s="171"/>
      <c r="L2" s="171"/>
      <c r="M2" s="171"/>
      <c r="N2" s="171"/>
      <c r="O2" s="171"/>
      <c r="P2" s="171"/>
      <c r="Q2" s="171"/>
      <c r="R2" s="171"/>
      <c r="S2" s="171"/>
      <c r="T2" s="338"/>
      <c r="U2" s="338"/>
      <c r="V2" s="339"/>
      <c r="W2" s="223"/>
      <c r="X2" s="223"/>
      <c r="Y2" s="339"/>
      <c r="Z2" s="223"/>
      <c r="AA2" s="223"/>
      <c r="AB2" s="338"/>
      <c r="AC2" s="338"/>
      <c r="AD2" s="339"/>
      <c r="AE2" s="339"/>
      <c r="AF2" s="223"/>
      <c r="AG2" s="223"/>
      <c r="AH2" s="223"/>
      <c r="AI2" s="223"/>
      <c r="AJ2" s="223"/>
      <c r="AK2" s="338"/>
      <c r="AL2" s="338"/>
      <c r="AM2" s="339"/>
      <c r="AN2" s="340"/>
      <c r="AO2" s="223"/>
      <c r="AP2" s="223"/>
      <c r="AQ2" s="223"/>
      <c r="AR2" s="223"/>
      <c r="AS2" s="223"/>
      <c r="AT2" s="223"/>
      <c r="AU2" s="223"/>
      <c r="AV2" s="223"/>
      <c r="AW2" s="223"/>
      <c r="AX2" s="223"/>
      <c r="AY2" s="223"/>
    </row>
    <row r="3" spans="2:52" ht="15" customHeight="1" x14ac:dyDescent="0.25">
      <c r="B3" s="172" t="s">
        <v>423</v>
      </c>
      <c r="C3" s="172"/>
      <c r="D3" s="172"/>
      <c r="E3" s="172"/>
      <c r="F3" s="172"/>
      <c r="G3" s="172"/>
      <c r="H3" s="172"/>
      <c r="I3" s="172"/>
      <c r="J3" s="172"/>
      <c r="K3" s="172"/>
      <c r="L3" s="172"/>
      <c r="M3" s="172"/>
      <c r="N3" s="172"/>
      <c r="O3" s="172"/>
      <c r="P3" s="172"/>
      <c r="Q3" s="172"/>
      <c r="R3" s="172"/>
      <c r="S3" s="172"/>
      <c r="T3" s="228">
        <v>2018</v>
      </c>
      <c r="U3" s="228">
        <v>2019</v>
      </c>
      <c r="V3" s="228">
        <v>2020</v>
      </c>
      <c r="W3" s="228">
        <v>2021</v>
      </c>
      <c r="X3" s="228">
        <v>2022</v>
      </c>
      <c r="Y3" s="231">
        <v>2023</v>
      </c>
      <c r="Z3" s="230">
        <v>2024</v>
      </c>
      <c r="AA3" s="354"/>
      <c r="AB3" s="231" t="s">
        <v>291</v>
      </c>
      <c r="AC3" s="231" t="s">
        <v>292</v>
      </c>
      <c r="AD3" s="231" t="s">
        <v>293</v>
      </c>
      <c r="AE3" s="231">
        <v>2023</v>
      </c>
      <c r="AF3" s="232" t="s">
        <v>318</v>
      </c>
      <c r="AG3" s="232" t="s">
        <v>319</v>
      </c>
      <c r="AH3" s="232" t="s">
        <v>320</v>
      </c>
      <c r="AI3" s="232">
        <v>2024</v>
      </c>
      <c r="AJ3" s="354"/>
      <c r="AK3" s="231" t="s">
        <v>291</v>
      </c>
      <c r="AL3" s="231" t="s">
        <v>296</v>
      </c>
      <c r="AM3" s="231" t="s">
        <v>294</v>
      </c>
      <c r="AN3" s="231" t="s">
        <v>295</v>
      </c>
      <c r="AO3" s="232" t="s">
        <v>318</v>
      </c>
      <c r="AP3" s="232" t="s">
        <v>321</v>
      </c>
      <c r="AQ3" s="232" t="s">
        <v>322</v>
      </c>
      <c r="AR3" s="232" t="s">
        <v>323</v>
      </c>
      <c r="AS3" s="354"/>
      <c r="AT3" s="354"/>
      <c r="AU3" s="354"/>
      <c r="AV3" s="354"/>
      <c r="AW3" s="354"/>
      <c r="AX3" s="354"/>
      <c r="AY3" s="354"/>
      <c r="AZ3" s="78"/>
    </row>
    <row r="4" spans="2:52" ht="15" customHeight="1" x14ac:dyDescent="0.25">
      <c r="B4" s="77" t="s">
        <v>102</v>
      </c>
      <c r="C4" s="77"/>
      <c r="D4" s="77"/>
      <c r="E4" s="77"/>
      <c r="F4" s="77"/>
      <c r="G4" s="77"/>
      <c r="H4" s="77"/>
      <c r="I4" s="77"/>
      <c r="J4" s="77"/>
      <c r="K4" s="77"/>
      <c r="L4" s="77"/>
      <c r="M4" s="77"/>
      <c r="N4" s="77"/>
      <c r="O4" s="77"/>
      <c r="P4" s="77"/>
      <c r="Q4" s="77"/>
      <c r="R4" s="77"/>
      <c r="S4" s="77"/>
      <c r="T4" s="355">
        <v>1714.7416204135604</v>
      </c>
      <c r="U4" s="355">
        <v>1816.3508532691039</v>
      </c>
      <c r="V4" s="355">
        <v>1668.5571330232815</v>
      </c>
      <c r="W4" s="355">
        <v>2070.8872959217001</v>
      </c>
      <c r="X4" s="355">
        <v>2348.7771180231198</v>
      </c>
      <c r="Y4" s="355">
        <f t="shared" ref="Y4:Y17" si="0">AE4</f>
        <v>2454.4062336345805</v>
      </c>
      <c r="Z4" s="355"/>
      <c r="AA4" s="354"/>
      <c r="AB4" s="355">
        <v>606.73180123160489</v>
      </c>
      <c r="AC4" s="355">
        <v>1177.4253552916746</v>
      </c>
      <c r="AD4" s="355">
        <v>1820.115456648808</v>
      </c>
      <c r="AE4" s="355">
        <v>2454.4062336345805</v>
      </c>
      <c r="AF4" s="355">
        <v>628.56994012659879</v>
      </c>
      <c r="AG4" s="355"/>
      <c r="AH4" s="355"/>
      <c r="AI4" s="355"/>
      <c r="AJ4" s="354"/>
      <c r="AK4" s="355">
        <f t="shared" ref="AK4:AK17" si="1">AB4</f>
        <v>606.73180123160489</v>
      </c>
      <c r="AL4" s="355">
        <f t="shared" ref="AL4:AL16" si="2">AC4-AB4</f>
        <v>570.69355406006969</v>
      </c>
      <c r="AM4" s="355">
        <f t="shared" ref="AM4:AM17" si="3">AD4-AC4</f>
        <v>642.69010135713347</v>
      </c>
      <c r="AN4" s="355">
        <f t="shared" ref="AN4:AN17" si="4">AE4-AD4</f>
        <v>634.29077698577248</v>
      </c>
      <c r="AO4" s="355">
        <f t="shared" ref="AO4:AO17" si="5">AF4</f>
        <v>628.56994012659879</v>
      </c>
      <c r="AP4" s="355"/>
      <c r="AQ4" s="355"/>
      <c r="AR4" s="355"/>
      <c r="AS4" s="354"/>
      <c r="AT4" s="354"/>
      <c r="AU4" s="354"/>
      <c r="AV4" s="354"/>
      <c r="AW4" s="354"/>
      <c r="AX4" s="354"/>
      <c r="AY4" s="354"/>
      <c r="AZ4" s="78"/>
    </row>
    <row r="5" spans="2:52" ht="15" customHeight="1" x14ac:dyDescent="0.25">
      <c r="B5" s="81" t="s">
        <v>148</v>
      </c>
      <c r="C5" s="81"/>
      <c r="D5" s="81"/>
      <c r="E5" s="81"/>
      <c r="F5" s="81"/>
      <c r="G5" s="81"/>
      <c r="H5" s="81"/>
      <c r="I5" s="81"/>
      <c r="J5" s="81"/>
      <c r="K5" s="81"/>
      <c r="L5" s="81"/>
      <c r="M5" s="81"/>
      <c r="N5" s="81"/>
      <c r="O5" s="81"/>
      <c r="P5" s="81"/>
      <c r="Q5" s="81"/>
      <c r="R5" s="81"/>
      <c r="S5" s="81"/>
      <c r="T5" s="356">
        <v>597.28978787371943</v>
      </c>
      <c r="U5" s="356">
        <v>551.21495573969526</v>
      </c>
      <c r="V5" s="356">
        <v>498.18130523653804</v>
      </c>
      <c r="W5" s="356">
        <v>526.34710883775904</v>
      </c>
      <c r="X5" s="356">
        <v>567.41706436342974</v>
      </c>
      <c r="Y5" s="384">
        <f t="shared" si="0"/>
        <v>617.52375749383611</v>
      </c>
      <c r="Z5" s="356"/>
      <c r="AA5" s="354"/>
      <c r="AB5" s="356">
        <v>145.42764424028806</v>
      </c>
      <c r="AC5" s="356">
        <v>293.12154409894799</v>
      </c>
      <c r="AD5" s="356">
        <v>440.26819659177909</v>
      </c>
      <c r="AE5" s="384">
        <v>617.52375749383611</v>
      </c>
      <c r="AF5" s="356">
        <v>150.51857798040905</v>
      </c>
      <c r="AG5" s="384"/>
      <c r="AH5" s="384"/>
      <c r="AI5" s="384"/>
      <c r="AJ5" s="354"/>
      <c r="AK5" s="356">
        <f t="shared" si="1"/>
        <v>145.42764424028806</v>
      </c>
      <c r="AL5" s="356">
        <f t="shared" si="2"/>
        <v>147.69389985865993</v>
      </c>
      <c r="AM5" s="356">
        <f t="shared" si="3"/>
        <v>147.14665249283109</v>
      </c>
      <c r="AN5" s="356">
        <f t="shared" si="4"/>
        <v>177.25556090205703</v>
      </c>
      <c r="AO5" s="356">
        <f t="shared" si="5"/>
        <v>150.51857798040905</v>
      </c>
      <c r="AP5" s="356"/>
      <c r="AQ5" s="356"/>
      <c r="AR5" s="356"/>
      <c r="AS5" s="354"/>
      <c r="AT5" s="354"/>
      <c r="AU5" s="354"/>
      <c r="AV5" s="354"/>
      <c r="AW5" s="354"/>
      <c r="AX5" s="354"/>
      <c r="AY5" s="354"/>
      <c r="AZ5" s="78"/>
    </row>
    <row r="6" spans="2:52" ht="15" customHeight="1" x14ac:dyDescent="0.25">
      <c r="B6" s="82" t="s">
        <v>149</v>
      </c>
      <c r="C6" s="82"/>
      <c r="D6" s="82"/>
      <c r="E6" s="82"/>
      <c r="F6" s="82"/>
      <c r="G6" s="82"/>
      <c r="H6" s="82"/>
      <c r="I6" s="82"/>
      <c r="J6" s="82"/>
      <c r="K6" s="82"/>
      <c r="L6" s="82"/>
      <c r="M6" s="82"/>
      <c r="N6" s="82"/>
      <c r="O6" s="82"/>
      <c r="P6" s="82"/>
      <c r="Q6" s="82"/>
      <c r="R6" s="82"/>
      <c r="S6" s="82"/>
      <c r="T6" s="356">
        <v>286.40341815330237</v>
      </c>
      <c r="U6" s="356">
        <v>273.74838592017164</v>
      </c>
      <c r="V6" s="356">
        <v>265.2554057283748</v>
      </c>
      <c r="W6" s="356">
        <v>217.67784532269005</v>
      </c>
      <c r="X6" s="356">
        <v>275.97840949641801</v>
      </c>
      <c r="Y6" s="384">
        <f t="shared" si="0"/>
        <v>336.35206909096291</v>
      </c>
      <c r="Z6" s="356"/>
      <c r="AA6" s="354"/>
      <c r="AB6" s="356">
        <v>80.424680082988004</v>
      </c>
      <c r="AC6" s="356">
        <v>158.52508427465696</v>
      </c>
      <c r="AD6" s="356">
        <v>264.74004248077705</v>
      </c>
      <c r="AE6" s="384">
        <v>336.35206909096291</v>
      </c>
      <c r="AF6" s="356">
        <v>10.035637483950019</v>
      </c>
      <c r="AG6" s="384"/>
      <c r="AH6" s="384"/>
      <c r="AI6" s="384"/>
      <c r="AJ6" s="354"/>
      <c r="AK6" s="356">
        <f t="shared" si="1"/>
        <v>80.424680082988004</v>
      </c>
      <c r="AL6" s="356">
        <f t="shared" si="2"/>
        <v>78.100404191668957</v>
      </c>
      <c r="AM6" s="356">
        <f t="shared" si="3"/>
        <v>106.21495820612009</v>
      </c>
      <c r="AN6" s="356">
        <f t="shared" si="4"/>
        <v>71.612026610185865</v>
      </c>
      <c r="AO6" s="356">
        <f t="shared" si="5"/>
        <v>10.035637483950019</v>
      </c>
      <c r="AP6" s="356"/>
      <c r="AQ6" s="356"/>
      <c r="AR6" s="356"/>
      <c r="AS6" s="354"/>
      <c r="AT6" s="354"/>
      <c r="AU6" s="354"/>
      <c r="AV6" s="354"/>
      <c r="AW6" s="354"/>
      <c r="AX6" s="354"/>
      <c r="AY6" s="354"/>
      <c r="AZ6" s="78"/>
    </row>
    <row r="7" spans="2:52" ht="15" customHeight="1" x14ac:dyDescent="0.25">
      <c r="B7" s="77" t="s">
        <v>150</v>
      </c>
      <c r="C7" s="77"/>
      <c r="D7" s="77"/>
      <c r="E7" s="77"/>
      <c r="F7" s="77"/>
      <c r="G7" s="77"/>
      <c r="H7" s="77"/>
      <c r="I7" s="77"/>
      <c r="J7" s="77"/>
      <c r="K7" s="77"/>
      <c r="L7" s="77"/>
      <c r="M7" s="77"/>
      <c r="N7" s="77"/>
      <c r="O7" s="77"/>
      <c r="P7" s="77"/>
      <c r="Q7" s="77"/>
      <c r="R7" s="77"/>
      <c r="S7" s="77"/>
      <c r="T7" s="355">
        <v>883.69320602702192</v>
      </c>
      <c r="U7" s="355">
        <v>824.96334165986684</v>
      </c>
      <c r="V7" s="355">
        <v>763.43671096491278</v>
      </c>
      <c r="W7" s="355">
        <v>744.02495416044906</v>
      </c>
      <c r="X7" s="355">
        <v>843.3954738598477</v>
      </c>
      <c r="Y7" s="355">
        <f t="shared" si="0"/>
        <v>953.87582658479903</v>
      </c>
      <c r="Z7" s="355"/>
      <c r="AA7" s="354"/>
      <c r="AB7" s="355">
        <v>225.85232432327606</v>
      </c>
      <c r="AC7" s="355">
        <v>451.64662837360493</v>
      </c>
      <c r="AD7" s="355">
        <v>705.00823907255608</v>
      </c>
      <c r="AE7" s="355">
        <v>953.87582658479903</v>
      </c>
      <c r="AF7" s="355">
        <v>160.55421546435906</v>
      </c>
      <c r="AG7" s="355"/>
      <c r="AH7" s="355"/>
      <c r="AI7" s="355"/>
      <c r="AJ7" s="354"/>
      <c r="AK7" s="355">
        <f t="shared" si="1"/>
        <v>225.85232432327606</v>
      </c>
      <c r="AL7" s="355">
        <f t="shared" si="2"/>
        <v>225.79430405032886</v>
      </c>
      <c r="AM7" s="355">
        <f t="shared" si="3"/>
        <v>253.36161069895115</v>
      </c>
      <c r="AN7" s="355">
        <f t="shared" si="4"/>
        <v>248.86758751224295</v>
      </c>
      <c r="AO7" s="355">
        <f t="shared" si="5"/>
        <v>160.55421546435906</v>
      </c>
      <c r="AP7" s="355"/>
      <c r="AQ7" s="355"/>
      <c r="AR7" s="355"/>
      <c r="AS7" s="354"/>
      <c r="AT7" s="354"/>
      <c r="AU7" s="354"/>
      <c r="AV7" s="354"/>
      <c r="AW7" s="354"/>
      <c r="AX7" s="354"/>
      <c r="AY7" s="354"/>
      <c r="AZ7" s="78"/>
    </row>
    <row r="8" spans="2:52" ht="15" customHeight="1" x14ac:dyDescent="0.25">
      <c r="B8" s="78" t="s">
        <v>151</v>
      </c>
      <c r="T8" s="357">
        <v>0</v>
      </c>
      <c r="U8" s="356">
        <v>5.5804977244438767</v>
      </c>
      <c r="V8" s="356">
        <v>2.3815595561334604</v>
      </c>
      <c r="W8" s="356">
        <v>0.25555322000000003</v>
      </c>
      <c r="X8" s="356">
        <v>0.317667851838</v>
      </c>
      <c r="Y8" s="384">
        <f t="shared" si="0"/>
        <v>9.5560140000000002E-2</v>
      </c>
      <c r="Z8" s="356"/>
      <c r="AA8" s="354"/>
      <c r="AB8" s="356">
        <v>0</v>
      </c>
      <c r="AC8" s="356">
        <v>-4.3443400000000004E-3</v>
      </c>
      <c r="AD8" s="356">
        <v>-4.3443455299999999E-3</v>
      </c>
      <c r="AE8" s="384">
        <v>9.5560140000000002E-2</v>
      </c>
      <c r="AF8" s="356">
        <v>5.223462550911</v>
      </c>
      <c r="AG8" s="384"/>
      <c r="AH8" s="384"/>
      <c r="AI8" s="384"/>
      <c r="AJ8" s="354"/>
      <c r="AK8" s="356">
        <f t="shared" si="1"/>
        <v>0</v>
      </c>
      <c r="AL8" s="356">
        <f t="shared" si="2"/>
        <v>-4.3443400000000004E-3</v>
      </c>
      <c r="AM8" s="356">
        <f t="shared" si="3"/>
        <v>-5.529999999587254E-9</v>
      </c>
      <c r="AN8" s="356">
        <f t="shared" si="4"/>
        <v>9.9904485530000003E-2</v>
      </c>
      <c r="AO8" s="356">
        <f t="shared" si="5"/>
        <v>5.223462550911</v>
      </c>
      <c r="AP8" s="356"/>
      <c r="AQ8" s="356"/>
      <c r="AR8" s="356"/>
      <c r="AS8" s="354"/>
      <c r="AT8" s="354"/>
      <c r="AU8" s="354"/>
      <c r="AV8" s="354"/>
      <c r="AW8" s="354"/>
      <c r="AX8" s="354"/>
      <c r="AY8" s="354"/>
      <c r="AZ8" s="78"/>
    </row>
    <row r="9" spans="2:52" ht="15" customHeight="1" x14ac:dyDescent="0.25">
      <c r="B9" s="77" t="s">
        <v>72</v>
      </c>
      <c r="C9" s="77"/>
      <c r="D9" s="77"/>
      <c r="E9" s="77"/>
      <c r="F9" s="77"/>
      <c r="G9" s="77"/>
      <c r="H9" s="77"/>
      <c r="I9" s="77"/>
      <c r="J9" s="77"/>
      <c r="K9" s="77"/>
      <c r="L9" s="77"/>
      <c r="M9" s="77"/>
      <c r="N9" s="77"/>
      <c r="O9" s="77"/>
      <c r="P9" s="77"/>
      <c r="Q9" s="77"/>
      <c r="R9" s="77"/>
      <c r="S9" s="77"/>
      <c r="T9" s="355">
        <v>831.04841438653852</v>
      </c>
      <c r="U9" s="355">
        <v>996.96800933368093</v>
      </c>
      <c r="V9" s="355">
        <v>907.5019816145026</v>
      </c>
      <c r="W9" s="355">
        <v>1327.1178949812515</v>
      </c>
      <c r="X9" s="355">
        <v>1505.6993120151105</v>
      </c>
      <c r="Y9" s="382">
        <f t="shared" si="0"/>
        <v>1500.6259671897819</v>
      </c>
      <c r="Z9" s="355"/>
      <c r="AA9" s="354"/>
      <c r="AB9" s="355">
        <v>381</v>
      </c>
      <c r="AC9" s="382">
        <v>725.77438257807</v>
      </c>
      <c r="AD9" s="382">
        <v>1115.1028732307227</v>
      </c>
      <c r="AE9" s="382">
        <v>1500.6259671897819</v>
      </c>
      <c r="AF9" s="355">
        <v>473.2391872131509</v>
      </c>
      <c r="AG9" s="382"/>
      <c r="AH9" s="382"/>
      <c r="AI9" s="382"/>
      <c r="AJ9" s="354"/>
      <c r="AK9" s="355">
        <f t="shared" si="1"/>
        <v>381</v>
      </c>
      <c r="AL9" s="355">
        <f t="shared" si="2"/>
        <v>344.77438257807</v>
      </c>
      <c r="AM9" s="355">
        <f t="shared" si="3"/>
        <v>389.3284906526527</v>
      </c>
      <c r="AN9" s="355">
        <f t="shared" si="4"/>
        <v>385.52309395905922</v>
      </c>
      <c r="AO9" s="355">
        <f t="shared" si="5"/>
        <v>473.2391872131509</v>
      </c>
      <c r="AP9" s="355"/>
      <c r="AQ9" s="355"/>
      <c r="AR9" s="355"/>
      <c r="AS9" s="354"/>
      <c r="AT9" s="354"/>
      <c r="AU9" s="354"/>
      <c r="AV9" s="354"/>
      <c r="AW9" s="354"/>
      <c r="AX9" s="354"/>
      <c r="AY9" s="354"/>
      <c r="AZ9" s="78"/>
    </row>
    <row r="10" spans="2:52" ht="15" customHeight="1" x14ac:dyDescent="0.25">
      <c r="B10" s="217" t="s">
        <v>38</v>
      </c>
      <c r="C10" s="86"/>
      <c r="D10" s="86"/>
      <c r="E10" s="86"/>
      <c r="F10" s="86"/>
      <c r="G10" s="86"/>
      <c r="H10" s="86"/>
      <c r="I10" s="86"/>
      <c r="J10" s="86"/>
      <c r="K10" s="86"/>
      <c r="L10" s="86"/>
      <c r="M10" s="86"/>
      <c r="N10" s="86"/>
      <c r="O10" s="86"/>
      <c r="P10" s="86"/>
      <c r="Q10" s="86"/>
      <c r="R10" s="86"/>
      <c r="S10" s="86"/>
      <c r="T10" s="389">
        <f>T11+T12</f>
        <v>624.53583814400031</v>
      </c>
      <c r="U10" s="389">
        <f>U11+U12</f>
        <v>631.79686460999972</v>
      </c>
      <c r="V10" s="389">
        <f>V11+V12</f>
        <v>637.88455959999987</v>
      </c>
      <c r="W10" s="389">
        <f>W11+W12</f>
        <v>900.22819821999997</v>
      </c>
      <c r="X10" s="389">
        <f t="shared" ref="X10" si="6">X11+X12</f>
        <v>890.96534713999768</v>
      </c>
      <c r="Y10" s="389">
        <f t="shared" si="0"/>
        <v>879.79370240000003</v>
      </c>
      <c r="Z10" s="389"/>
      <c r="AA10" s="354"/>
      <c r="AB10" s="389">
        <f t="shared" ref="AB10" si="7">AB11+AB12</f>
        <v>214.40406732000011</v>
      </c>
      <c r="AC10" s="389">
        <f t="shared" ref="AC10" si="8">AC11+AC12</f>
        <v>429.30472282000011</v>
      </c>
      <c r="AD10" s="389">
        <f t="shared" ref="AD10:AF10" si="9">AD11+AD12</f>
        <v>649.29019155000015</v>
      </c>
      <c r="AE10" s="389">
        <f t="shared" si="9"/>
        <v>879.79370240000003</v>
      </c>
      <c r="AF10" s="389">
        <f t="shared" si="9"/>
        <v>221.66921505999991</v>
      </c>
      <c r="AG10" s="389"/>
      <c r="AH10" s="389"/>
      <c r="AI10" s="389"/>
      <c r="AJ10" s="354"/>
      <c r="AK10" s="389">
        <f t="shared" si="1"/>
        <v>214.40406732000011</v>
      </c>
      <c r="AL10" s="389">
        <f t="shared" si="2"/>
        <v>214.9006555</v>
      </c>
      <c r="AM10" s="389">
        <f t="shared" si="3"/>
        <v>219.98546873000004</v>
      </c>
      <c r="AN10" s="389">
        <f t="shared" si="4"/>
        <v>230.50351084999988</v>
      </c>
      <c r="AO10" s="389">
        <f t="shared" si="5"/>
        <v>221.66921505999991</v>
      </c>
      <c r="AP10" s="389"/>
      <c r="AQ10" s="389"/>
      <c r="AR10" s="389"/>
      <c r="AS10" s="354"/>
      <c r="AT10" s="354"/>
      <c r="AU10" s="354"/>
      <c r="AV10" s="354"/>
      <c r="AW10" s="354"/>
      <c r="AX10" s="354"/>
      <c r="AY10" s="354"/>
      <c r="AZ10" s="78"/>
    </row>
    <row r="11" spans="2:52" ht="15" customHeight="1" x14ac:dyDescent="0.25">
      <c r="B11" s="155" t="s">
        <v>51</v>
      </c>
      <c r="C11" s="38"/>
      <c r="D11" s="38"/>
      <c r="E11" s="38"/>
      <c r="F11" s="38"/>
      <c r="G11" s="38"/>
      <c r="H11" s="38"/>
      <c r="I11" s="38"/>
      <c r="J11" s="38"/>
      <c r="K11" s="38"/>
      <c r="L11" s="38"/>
      <c r="M11" s="38"/>
      <c r="N11" s="38"/>
      <c r="O11" s="38"/>
      <c r="P11" s="38"/>
      <c r="Q11" s="38"/>
      <c r="R11" s="38"/>
      <c r="S11" s="38"/>
      <c r="T11" s="357">
        <f>T104</f>
        <v>479.97422294400036</v>
      </c>
      <c r="U11" s="357">
        <f>U104</f>
        <v>477.15501070999971</v>
      </c>
      <c r="V11" s="357">
        <f>V104</f>
        <v>471.40043088999994</v>
      </c>
      <c r="W11" s="384">
        <v>531.34928236999997</v>
      </c>
      <c r="X11" s="384">
        <f t="shared" ref="X11" si="10">X104</f>
        <v>533.24719674000005</v>
      </c>
      <c r="Y11" s="448">
        <f t="shared" si="0"/>
        <v>531.0354769600001</v>
      </c>
      <c r="Z11" s="357"/>
      <c r="AA11" s="354"/>
      <c r="AB11" s="357">
        <f t="shared" ref="AB11" si="11">AB104</f>
        <v>127.35151629000006</v>
      </c>
      <c r="AC11" s="448">
        <f t="shared" ref="AC11" si="12">AC104</f>
        <v>254.15127888000012</v>
      </c>
      <c r="AD11" s="448">
        <f t="shared" ref="AD11:AF11" si="13">AD104</f>
        <v>384.50426294000005</v>
      </c>
      <c r="AE11" s="448">
        <f t="shared" si="13"/>
        <v>531.0354769600001</v>
      </c>
      <c r="AF11" s="357">
        <f t="shared" si="13"/>
        <v>134.79908440999995</v>
      </c>
      <c r="AG11" s="448"/>
      <c r="AH11" s="448"/>
      <c r="AI11" s="448"/>
      <c r="AJ11" s="354"/>
      <c r="AK11" s="357">
        <f t="shared" si="1"/>
        <v>127.35151629000006</v>
      </c>
      <c r="AL11" s="357">
        <f t="shared" si="2"/>
        <v>126.79976259000006</v>
      </c>
      <c r="AM11" s="357">
        <f t="shared" si="3"/>
        <v>130.35298405999993</v>
      </c>
      <c r="AN11" s="357">
        <f t="shared" si="4"/>
        <v>146.53121402000005</v>
      </c>
      <c r="AO11" s="357">
        <f t="shared" si="5"/>
        <v>134.79908440999995</v>
      </c>
      <c r="AP11" s="357"/>
      <c r="AQ11" s="357"/>
      <c r="AR11" s="357"/>
      <c r="AS11" s="354"/>
      <c r="AT11" s="354"/>
      <c r="AU11" s="354"/>
      <c r="AV11" s="354"/>
      <c r="AW11" s="354"/>
      <c r="AX11" s="354"/>
      <c r="AY11" s="354"/>
      <c r="AZ11" s="78"/>
    </row>
    <row r="12" spans="2:52" ht="15" customHeight="1" x14ac:dyDescent="0.25">
      <c r="B12" s="155" t="s">
        <v>50</v>
      </c>
      <c r="C12" s="38"/>
      <c r="D12" s="38"/>
      <c r="E12" s="38"/>
      <c r="F12" s="38"/>
      <c r="G12" s="38"/>
      <c r="H12" s="38"/>
      <c r="I12" s="38"/>
      <c r="J12" s="38"/>
      <c r="K12" s="38"/>
      <c r="L12" s="38"/>
      <c r="M12" s="38"/>
      <c r="N12" s="38"/>
      <c r="O12" s="38"/>
      <c r="P12" s="38"/>
      <c r="Q12" s="38"/>
      <c r="R12" s="38"/>
      <c r="S12" s="38"/>
      <c r="T12" s="357">
        <f>T151</f>
        <v>144.56161519999998</v>
      </c>
      <c r="U12" s="357">
        <f>U151</f>
        <v>154.64185390000003</v>
      </c>
      <c r="V12" s="357">
        <f>V151</f>
        <v>166.48412870999991</v>
      </c>
      <c r="W12" s="384">
        <v>368.87891584999994</v>
      </c>
      <c r="X12" s="384">
        <f t="shared" ref="X12" si="14">X151</f>
        <v>357.71815039999763</v>
      </c>
      <c r="Y12" s="448">
        <f t="shared" si="0"/>
        <v>348.75822543999988</v>
      </c>
      <c r="Z12" s="357"/>
      <c r="AA12" s="354"/>
      <c r="AB12" s="357">
        <f t="shared" ref="AB12" si="15">AB151</f>
        <v>87.052551030000046</v>
      </c>
      <c r="AC12" s="448">
        <f t="shared" ref="AC12" si="16">AC151</f>
        <v>175.15344393999999</v>
      </c>
      <c r="AD12" s="448">
        <f t="shared" ref="AD12:AF12" si="17">AD151</f>
        <v>264.78592861000004</v>
      </c>
      <c r="AE12" s="448">
        <f t="shared" si="17"/>
        <v>348.75822543999988</v>
      </c>
      <c r="AF12" s="357">
        <f t="shared" si="17"/>
        <v>86.870130649999965</v>
      </c>
      <c r="AG12" s="448"/>
      <c r="AH12" s="448"/>
      <c r="AI12" s="448"/>
      <c r="AJ12" s="354"/>
      <c r="AK12" s="357">
        <f t="shared" si="1"/>
        <v>87.052551030000046</v>
      </c>
      <c r="AL12" s="357">
        <f t="shared" si="2"/>
        <v>88.100892909999942</v>
      </c>
      <c r="AM12" s="357">
        <f t="shared" si="3"/>
        <v>89.632484670000053</v>
      </c>
      <c r="AN12" s="357">
        <f t="shared" si="4"/>
        <v>83.972296829999834</v>
      </c>
      <c r="AO12" s="357">
        <f t="shared" si="5"/>
        <v>86.870130649999965</v>
      </c>
      <c r="AP12" s="357"/>
      <c r="AQ12" s="357"/>
      <c r="AR12" s="357"/>
      <c r="AS12" s="354"/>
      <c r="AT12" s="354"/>
      <c r="AU12" s="354"/>
      <c r="AV12" s="354"/>
      <c r="AW12" s="354"/>
      <c r="AX12" s="354"/>
      <c r="AY12" s="354"/>
      <c r="AZ12" s="78"/>
    </row>
    <row r="13" spans="2:52" ht="15" customHeight="1" x14ac:dyDescent="0.25">
      <c r="B13" s="217" t="s">
        <v>39</v>
      </c>
      <c r="C13" s="86"/>
      <c r="D13" s="86"/>
      <c r="E13" s="86"/>
      <c r="F13" s="86"/>
      <c r="G13" s="86"/>
      <c r="H13" s="86"/>
      <c r="I13" s="86"/>
      <c r="J13" s="86"/>
      <c r="K13" s="86"/>
      <c r="L13" s="86"/>
      <c r="M13" s="86"/>
      <c r="N13" s="86"/>
      <c r="O13" s="86"/>
      <c r="P13" s="86"/>
      <c r="Q13" s="86"/>
      <c r="R13" s="86"/>
      <c r="S13" s="86"/>
      <c r="T13" s="358">
        <f t="shared" ref="T13:U15" si="18">T209</f>
        <v>205.86059374253691</v>
      </c>
      <c r="U13" s="355">
        <f t="shared" si="18"/>
        <v>365.17240172368054</v>
      </c>
      <c r="V13" s="355">
        <f>V209</f>
        <v>269.61742201450289</v>
      </c>
      <c r="W13" s="355">
        <f>W209</f>
        <v>427.30610275699991</v>
      </c>
      <c r="X13" s="355">
        <f t="shared" ref="X13" si="19">X209</f>
        <v>614.73396487510718</v>
      </c>
      <c r="Y13" s="382">
        <f t="shared" si="0"/>
        <v>620.83226478977349</v>
      </c>
      <c r="Z13" s="355"/>
      <c r="AA13" s="354"/>
      <c r="AB13" s="355">
        <f t="shared" ref="AB13" si="20">AB209</f>
        <v>166.47540958833213</v>
      </c>
      <c r="AC13" s="382">
        <f t="shared" ref="AC13" si="21">AC209</f>
        <v>296.469659758077</v>
      </c>
      <c r="AD13" s="382">
        <f>AD209</f>
        <v>465.81268168072762</v>
      </c>
      <c r="AE13" s="382">
        <f>AE209</f>
        <v>620.83226478977349</v>
      </c>
      <c r="AF13" s="355">
        <f t="shared" ref="AF13" si="22">AF209</f>
        <v>251.56997215314814</v>
      </c>
      <c r="AG13" s="382"/>
      <c r="AH13" s="382"/>
      <c r="AI13" s="382"/>
      <c r="AJ13" s="354"/>
      <c r="AK13" s="355">
        <f t="shared" si="1"/>
        <v>166.47540958833213</v>
      </c>
      <c r="AL13" s="355">
        <f t="shared" si="2"/>
        <v>129.99425016974487</v>
      </c>
      <c r="AM13" s="355">
        <f t="shared" si="3"/>
        <v>169.34302192265062</v>
      </c>
      <c r="AN13" s="355">
        <f t="shared" si="4"/>
        <v>155.01958310904587</v>
      </c>
      <c r="AO13" s="355">
        <f t="shared" si="5"/>
        <v>251.56997215314814</v>
      </c>
      <c r="AP13" s="355"/>
      <c r="AQ13" s="355"/>
      <c r="AR13" s="355"/>
      <c r="AS13" s="354"/>
      <c r="AT13" s="354"/>
      <c r="AU13" s="354"/>
      <c r="AV13" s="354"/>
      <c r="AW13" s="354"/>
      <c r="AX13" s="354"/>
      <c r="AY13" s="354"/>
      <c r="AZ13" s="78"/>
    </row>
    <row r="14" spans="2:52" ht="15" customHeight="1" x14ac:dyDescent="0.25">
      <c r="B14" s="155" t="s">
        <v>117</v>
      </c>
      <c r="C14" s="38"/>
      <c r="D14" s="38"/>
      <c r="E14" s="38"/>
      <c r="F14" s="38"/>
      <c r="G14" s="38"/>
      <c r="H14" s="38"/>
      <c r="I14" s="38"/>
      <c r="J14" s="38"/>
      <c r="K14" s="38"/>
      <c r="L14" s="38"/>
      <c r="M14" s="38"/>
      <c r="N14" s="38"/>
      <c r="O14" s="38"/>
      <c r="P14" s="38"/>
      <c r="Q14" s="38"/>
      <c r="R14" s="38"/>
      <c r="S14" s="38"/>
      <c r="T14" s="357">
        <f t="shared" si="18"/>
        <v>199.16847786334878</v>
      </c>
      <c r="U14" s="357">
        <f t="shared" si="18"/>
        <v>313.30332813512592</v>
      </c>
      <c r="V14" s="357">
        <f>V210</f>
        <v>206.76490834686101</v>
      </c>
      <c r="W14" s="356">
        <v>277.25936498599992</v>
      </c>
      <c r="X14" s="356">
        <f t="shared" ref="X14" si="23">X210</f>
        <v>436.36291479040204</v>
      </c>
      <c r="Y14" s="357">
        <f t="shared" si="0"/>
        <v>437.03235559688341</v>
      </c>
      <c r="Z14" s="357"/>
      <c r="AA14" s="354"/>
      <c r="AB14" s="357">
        <f t="shared" ref="AB14" si="24">AB210</f>
        <v>122.08681157959606</v>
      </c>
      <c r="AC14" s="357">
        <f t="shared" ref="AC14" si="25">AC210</f>
        <v>211.14664149896097</v>
      </c>
      <c r="AD14" s="357">
        <f t="shared" ref="AD14:AF14" si="26">AD210</f>
        <v>324.94333870892757</v>
      </c>
      <c r="AE14" s="357">
        <f t="shared" si="26"/>
        <v>437.03235559688341</v>
      </c>
      <c r="AF14" s="357">
        <f t="shared" si="26"/>
        <v>141.97313510911317</v>
      </c>
      <c r="AG14" s="357"/>
      <c r="AH14" s="357"/>
      <c r="AI14" s="357"/>
      <c r="AJ14" s="354"/>
      <c r="AK14" s="357">
        <f t="shared" si="1"/>
        <v>122.08681157959606</v>
      </c>
      <c r="AL14" s="357">
        <f t="shared" si="2"/>
        <v>89.059829919364915</v>
      </c>
      <c r="AM14" s="357">
        <f t="shared" si="3"/>
        <v>113.7966972099666</v>
      </c>
      <c r="AN14" s="357">
        <f t="shared" si="4"/>
        <v>112.08901688795584</v>
      </c>
      <c r="AO14" s="357">
        <f t="shared" si="5"/>
        <v>141.97313510911317</v>
      </c>
      <c r="AP14" s="357"/>
      <c r="AQ14" s="357"/>
      <c r="AR14" s="357"/>
      <c r="AS14" s="354"/>
      <c r="AT14" s="354"/>
      <c r="AU14" s="354"/>
      <c r="AV14" s="354"/>
      <c r="AW14" s="354"/>
      <c r="AX14" s="354"/>
      <c r="AY14" s="354"/>
      <c r="AZ14" s="78"/>
    </row>
    <row r="15" spans="2:52" ht="15" customHeight="1" x14ac:dyDescent="0.25">
      <c r="B15" s="155" t="s">
        <v>118</v>
      </c>
      <c r="C15" s="38"/>
      <c r="D15" s="38"/>
      <c r="E15" s="38"/>
      <c r="F15" s="38"/>
      <c r="G15" s="38"/>
      <c r="H15" s="38"/>
      <c r="I15" s="38"/>
      <c r="J15" s="38"/>
      <c r="K15" s="38"/>
      <c r="L15" s="38"/>
      <c r="M15" s="38"/>
      <c r="N15" s="38"/>
      <c r="O15" s="38"/>
      <c r="P15" s="38"/>
      <c r="Q15" s="38"/>
      <c r="R15" s="38"/>
      <c r="S15" s="38"/>
      <c r="T15" s="357">
        <f t="shared" si="18"/>
        <v>6.6921158791881146</v>
      </c>
      <c r="U15" s="357">
        <f t="shared" si="18"/>
        <v>51.869073588554585</v>
      </c>
      <c r="V15" s="357">
        <f>V211</f>
        <v>62.85251366764188</v>
      </c>
      <c r="W15" s="356">
        <v>150.04673777099998</v>
      </c>
      <c r="X15" s="356">
        <f t="shared" ref="X15" si="27">X211</f>
        <v>178.37105008470508</v>
      </c>
      <c r="Y15" s="357">
        <f t="shared" si="0"/>
        <v>183.79990919289006</v>
      </c>
      <c r="Z15" s="357"/>
      <c r="AA15" s="354"/>
      <c r="AB15" s="357">
        <f t="shared" ref="AB15" si="28">AB211</f>
        <v>44.388598008736068</v>
      </c>
      <c r="AC15" s="357">
        <f t="shared" ref="AC15" si="29">AC211</f>
        <v>85.32301825911604</v>
      </c>
      <c r="AD15" s="357">
        <f t="shared" ref="AD15:AF15" si="30">AD211</f>
        <v>140.86934297180005</v>
      </c>
      <c r="AE15" s="357">
        <f t="shared" si="30"/>
        <v>183.79990919289006</v>
      </c>
      <c r="AF15" s="357">
        <f t="shared" si="30"/>
        <v>109.59683704403201</v>
      </c>
      <c r="AG15" s="357"/>
      <c r="AH15" s="357"/>
      <c r="AI15" s="357"/>
      <c r="AJ15" s="354"/>
      <c r="AK15" s="357">
        <f t="shared" si="1"/>
        <v>44.388598008736068</v>
      </c>
      <c r="AL15" s="357">
        <f t="shared" si="2"/>
        <v>40.934420250379972</v>
      </c>
      <c r="AM15" s="357">
        <f t="shared" si="3"/>
        <v>55.546324712684012</v>
      </c>
      <c r="AN15" s="357">
        <f t="shared" si="4"/>
        <v>42.930566221090004</v>
      </c>
      <c r="AO15" s="357">
        <f t="shared" si="5"/>
        <v>109.59683704403201</v>
      </c>
      <c r="AP15" s="357"/>
      <c r="AQ15" s="357"/>
      <c r="AR15" s="357"/>
      <c r="AS15" s="354"/>
      <c r="AT15" s="354"/>
      <c r="AU15" s="354"/>
      <c r="AV15" s="354"/>
      <c r="AW15" s="354"/>
      <c r="AX15" s="354"/>
      <c r="AY15" s="354"/>
      <c r="AZ15" s="78"/>
    </row>
    <row r="16" spans="2:52" ht="15" customHeight="1" x14ac:dyDescent="0.25">
      <c r="B16" s="83" t="s">
        <v>424</v>
      </c>
      <c r="C16" s="83"/>
      <c r="D16" s="83"/>
      <c r="E16" s="83"/>
      <c r="F16" s="83"/>
      <c r="G16" s="83"/>
      <c r="H16" s="83"/>
      <c r="I16" s="83"/>
      <c r="J16" s="83"/>
      <c r="K16" s="83"/>
      <c r="L16" s="83"/>
      <c r="M16" s="83"/>
      <c r="N16" s="83"/>
      <c r="O16" s="83"/>
      <c r="P16" s="83"/>
      <c r="Q16" s="83"/>
      <c r="R16" s="83"/>
      <c r="S16" s="83"/>
      <c r="T16" s="356">
        <v>348.20759925365371</v>
      </c>
      <c r="U16" s="356">
        <v>370.31603618522763</v>
      </c>
      <c r="V16" s="356">
        <v>384.02908299845524</v>
      </c>
      <c r="W16" s="356">
        <v>490.96946303682802</v>
      </c>
      <c r="X16" s="356">
        <v>521.30860384082712</v>
      </c>
      <c r="Y16" s="356">
        <f t="shared" si="0"/>
        <v>557.767588245963</v>
      </c>
      <c r="Z16" s="356"/>
      <c r="AA16" s="354"/>
      <c r="AB16" s="356">
        <v>134.37691469225499</v>
      </c>
      <c r="AC16" s="356">
        <v>273.358626196415</v>
      </c>
      <c r="AD16" s="356">
        <v>410.74042072278706</v>
      </c>
      <c r="AE16" s="356">
        <v>557.767588245963</v>
      </c>
      <c r="AF16" s="356">
        <v>138.76505828625503</v>
      </c>
      <c r="AG16" s="356"/>
      <c r="AH16" s="356"/>
      <c r="AI16" s="356"/>
      <c r="AJ16" s="354"/>
      <c r="AK16" s="356">
        <f t="shared" si="1"/>
        <v>134.37691469225499</v>
      </c>
      <c r="AL16" s="356">
        <f t="shared" si="2"/>
        <v>138.98171150416002</v>
      </c>
      <c r="AM16" s="356">
        <f t="shared" si="3"/>
        <v>137.38179452637206</v>
      </c>
      <c r="AN16" s="356">
        <f t="shared" si="4"/>
        <v>147.02716752317593</v>
      </c>
      <c r="AO16" s="356">
        <f t="shared" si="5"/>
        <v>138.76505828625503</v>
      </c>
      <c r="AP16" s="356"/>
      <c r="AQ16" s="356"/>
      <c r="AR16" s="356"/>
      <c r="AS16" s="354"/>
      <c r="AT16" s="354"/>
      <c r="AU16" s="354"/>
      <c r="AV16" s="354"/>
      <c r="AW16" s="354"/>
      <c r="AX16" s="354"/>
      <c r="AY16" s="354"/>
      <c r="AZ16" s="78"/>
    </row>
    <row r="17" spans="2:52" ht="15" customHeight="1" x14ac:dyDescent="0.25">
      <c r="B17" s="77" t="s">
        <v>77</v>
      </c>
      <c r="C17" s="77"/>
      <c r="D17" s="77"/>
      <c r="E17" s="77"/>
      <c r="F17" s="77"/>
      <c r="G17" s="77"/>
      <c r="H17" s="77"/>
      <c r="I17" s="77"/>
      <c r="J17" s="77"/>
      <c r="K17" s="77"/>
      <c r="L17" s="77"/>
      <c r="M17" s="77"/>
      <c r="N17" s="77"/>
      <c r="O17" s="77"/>
      <c r="P17" s="77"/>
      <c r="Q17" s="77"/>
      <c r="R17" s="77"/>
      <c r="S17" s="77"/>
      <c r="T17" s="355">
        <v>482.84081513288481</v>
      </c>
      <c r="U17" s="355">
        <v>626.65197314845329</v>
      </c>
      <c r="V17" s="355">
        <v>523.47289861604702</v>
      </c>
      <c r="W17" s="355">
        <v>836.14843194442358</v>
      </c>
      <c r="X17" s="355">
        <v>984.39070817428308</v>
      </c>
      <c r="Y17" s="355">
        <f t="shared" si="0"/>
        <v>942.85837894381916</v>
      </c>
      <c r="Z17" s="355"/>
      <c r="AA17" s="354"/>
      <c r="AB17" s="355">
        <v>247</v>
      </c>
      <c r="AC17" s="355">
        <v>452.41575638165472</v>
      </c>
      <c r="AD17" s="355">
        <v>704.36245250793525</v>
      </c>
      <c r="AE17" s="355">
        <v>942.85837894381916</v>
      </c>
      <c r="AF17" s="355">
        <v>334.4741289268959</v>
      </c>
      <c r="AG17" s="355"/>
      <c r="AH17" s="355"/>
      <c r="AI17" s="355"/>
      <c r="AJ17" s="354"/>
      <c r="AK17" s="355">
        <f t="shared" si="1"/>
        <v>247</v>
      </c>
      <c r="AL17" s="516">
        <v>206</v>
      </c>
      <c r="AM17" s="355">
        <f t="shared" si="3"/>
        <v>251.94669612628053</v>
      </c>
      <c r="AN17" s="355">
        <f t="shared" si="4"/>
        <v>238.49592643588392</v>
      </c>
      <c r="AO17" s="355">
        <f t="shared" si="5"/>
        <v>334.4741289268959</v>
      </c>
      <c r="AP17" s="355"/>
      <c r="AQ17" s="355"/>
      <c r="AR17" s="355"/>
      <c r="AS17" s="354"/>
      <c r="AT17" s="354"/>
      <c r="AU17" s="354"/>
      <c r="AV17" s="354"/>
      <c r="AW17" s="354"/>
      <c r="AX17" s="354"/>
      <c r="AY17" s="354"/>
      <c r="AZ17" s="78"/>
    </row>
    <row r="18" spans="2:52" ht="15" customHeight="1" x14ac:dyDescent="0.25">
      <c r="B18" s="79"/>
      <c r="C18" s="79"/>
      <c r="D18" s="79"/>
      <c r="E18" s="79"/>
      <c r="F18" s="79"/>
      <c r="G18" s="79"/>
      <c r="H18" s="79"/>
      <c r="I18" s="79"/>
      <c r="J18" s="79"/>
      <c r="K18" s="79"/>
      <c r="L18" s="79"/>
      <c r="M18" s="79"/>
      <c r="N18" s="79"/>
      <c r="O18" s="79"/>
      <c r="P18" s="79"/>
      <c r="Q18" s="79"/>
      <c r="R18" s="79"/>
      <c r="S18" s="79"/>
      <c r="Y18" s="362"/>
      <c r="AA18" s="354"/>
      <c r="AE18" s="362"/>
      <c r="AJ18" s="354"/>
      <c r="AS18" s="354"/>
      <c r="AT18" s="354"/>
      <c r="AU18" s="354"/>
      <c r="AV18" s="354"/>
      <c r="AW18" s="354"/>
      <c r="AX18" s="354"/>
      <c r="AY18" s="354"/>
      <c r="AZ18" s="78"/>
    </row>
    <row r="19" spans="2:52" ht="15" customHeight="1" x14ac:dyDescent="0.25">
      <c r="B19" s="173" t="s">
        <v>119</v>
      </c>
      <c r="C19" s="173"/>
      <c r="D19" s="173"/>
      <c r="E19" s="173"/>
      <c r="F19" s="173"/>
      <c r="G19" s="173"/>
      <c r="H19" s="173"/>
      <c r="I19" s="173"/>
      <c r="J19" s="173"/>
      <c r="K19" s="173"/>
      <c r="L19" s="173"/>
      <c r="M19" s="173"/>
      <c r="N19" s="173"/>
      <c r="O19" s="173"/>
      <c r="P19" s="173"/>
      <c r="Q19" s="173"/>
      <c r="R19" s="173"/>
      <c r="S19" s="173"/>
      <c r="T19" s="228">
        <v>2018</v>
      </c>
      <c r="U19" s="228">
        <v>2019</v>
      </c>
      <c r="V19" s="228">
        <v>2020</v>
      </c>
      <c r="W19" s="228">
        <v>2021</v>
      </c>
      <c r="X19" s="228">
        <v>2022</v>
      </c>
      <c r="Y19" s="231">
        <v>2023</v>
      </c>
      <c r="Z19" s="230">
        <v>2024</v>
      </c>
      <c r="AA19" s="354"/>
      <c r="AB19" s="231" t="s">
        <v>291</v>
      </c>
      <c r="AC19" s="231" t="s">
        <v>292</v>
      </c>
      <c r="AD19" s="231" t="s">
        <v>293</v>
      </c>
      <c r="AE19" s="231">
        <v>2023</v>
      </c>
      <c r="AF19" s="232" t="s">
        <v>318</v>
      </c>
      <c r="AG19" s="232" t="s">
        <v>319</v>
      </c>
      <c r="AH19" s="232" t="s">
        <v>320</v>
      </c>
      <c r="AI19" s="232">
        <v>2024</v>
      </c>
      <c r="AJ19" s="354"/>
      <c r="AK19" s="231" t="s">
        <v>291</v>
      </c>
      <c r="AL19" s="231" t="s">
        <v>296</v>
      </c>
      <c r="AM19" s="231" t="s">
        <v>294</v>
      </c>
      <c r="AN19" s="231" t="s">
        <v>295</v>
      </c>
      <c r="AO19" s="232" t="s">
        <v>318</v>
      </c>
      <c r="AP19" s="232" t="s">
        <v>321</v>
      </c>
      <c r="AQ19" s="232" t="s">
        <v>322</v>
      </c>
      <c r="AR19" s="232" t="s">
        <v>323</v>
      </c>
      <c r="AS19" s="354"/>
      <c r="AT19" s="354"/>
      <c r="AU19" s="354"/>
      <c r="AV19" s="354"/>
      <c r="AW19" s="354"/>
      <c r="AX19" s="354"/>
      <c r="AY19" s="354"/>
      <c r="AZ19" s="78"/>
    </row>
    <row r="20" spans="2:52" ht="15" customHeight="1" x14ac:dyDescent="0.25">
      <c r="B20" s="96" t="s">
        <v>120</v>
      </c>
      <c r="C20" s="96"/>
      <c r="D20" s="96"/>
      <c r="E20" s="96"/>
      <c r="F20" s="96"/>
      <c r="G20" s="96"/>
      <c r="H20" s="96"/>
      <c r="I20" s="96"/>
      <c r="J20" s="96"/>
      <c r="K20" s="96"/>
      <c r="L20" s="96"/>
      <c r="M20" s="96"/>
      <c r="N20" s="96"/>
      <c r="O20" s="96"/>
      <c r="P20" s="96"/>
      <c r="Q20" s="96"/>
      <c r="R20" s="96"/>
      <c r="S20" s="96"/>
      <c r="AA20" s="354"/>
      <c r="AJ20" s="354"/>
      <c r="AS20" s="354"/>
      <c r="AT20" s="354"/>
      <c r="AU20" s="354"/>
      <c r="AV20" s="354"/>
      <c r="AW20" s="354"/>
      <c r="AX20" s="354"/>
      <c r="AY20" s="354"/>
      <c r="AZ20" s="78"/>
    </row>
    <row r="21" spans="2:52" ht="15" customHeight="1" x14ac:dyDescent="0.25">
      <c r="B21" s="84" t="s">
        <v>450</v>
      </c>
      <c r="C21" s="84"/>
      <c r="D21" s="84"/>
      <c r="E21" s="84"/>
      <c r="F21" s="84"/>
      <c r="G21" s="84"/>
      <c r="H21" s="84"/>
      <c r="I21" s="84"/>
      <c r="J21" s="84"/>
      <c r="K21" s="84"/>
      <c r="L21" s="84"/>
      <c r="M21" s="84"/>
      <c r="N21" s="84"/>
      <c r="O21" s="84"/>
      <c r="P21" s="84"/>
      <c r="Q21" s="84"/>
      <c r="R21" s="84"/>
      <c r="S21" s="84"/>
      <c r="T21" s="356">
        <v>55.620643297215359</v>
      </c>
      <c r="U21" s="356">
        <v>52.131282905250501</v>
      </c>
      <c r="V21" s="356">
        <v>47.022165634960594</v>
      </c>
      <c r="W21" s="356">
        <v>47.052387225404622</v>
      </c>
      <c r="X21" s="356">
        <v>48.315697972653986</v>
      </c>
      <c r="Y21" s="356">
        <f>AE21</f>
        <v>51.544735266688882</v>
      </c>
      <c r="Z21" s="356"/>
      <c r="AA21" s="354"/>
      <c r="AB21" s="356">
        <v>12.399440061557263</v>
      </c>
      <c r="AC21" s="356">
        <v>24.72379782788499</v>
      </c>
      <c r="AD21" s="356">
        <v>36.773523034792646</v>
      </c>
      <c r="AE21" s="356">
        <v>51.544735266688882</v>
      </c>
      <c r="AF21" s="356">
        <v>12.384080421472198</v>
      </c>
      <c r="AG21" s="360"/>
      <c r="AH21" s="360"/>
      <c r="AI21" s="360"/>
      <c r="AJ21" s="354"/>
      <c r="AK21" s="356">
        <f>AB21</f>
        <v>12.399440061557263</v>
      </c>
      <c r="AL21" s="356">
        <f t="shared" ref="AL21:AN22" si="31">AC21-AB21</f>
        <v>12.324357766327728</v>
      </c>
      <c r="AM21" s="356">
        <f t="shared" si="31"/>
        <v>12.049725206907656</v>
      </c>
      <c r="AN21" s="356">
        <f t="shared" si="31"/>
        <v>14.771212231896236</v>
      </c>
      <c r="AO21" s="356">
        <f>AF21</f>
        <v>12.384080421472198</v>
      </c>
      <c r="AP21" s="356"/>
      <c r="AQ21" s="356"/>
      <c r="AR21" s="356"/>
      <c r="AS21" s="354"/>
      <c r="AT21" s="354"/>
      <c r="AU21" s="354"/>
      <c r="AV21" s="354"/>
      <c r="AW21" s="354"/>
      <c r="AX21" s="354"/>
      <c r="AY21" s="354"/>
      <c r="AZ21" s="78"/>
    </row>
    <row r="22" spans="2:52" ht="15" customHeight="1" x14ac:dyDescent="0.25">
      <c r="B22" s="85" t="s">
        <v>451</v>
      </c>
      <c r="C22" s="85"/>
      <c r="D22" s="85"/>
      <c r="E22" s="85"/>
      <c r="F22" s="85"/>
      <c r="G22" s="85"/>
      <c r="H22" s="85"/>
      <c r="I22" s="85"/>
      <c r="J22" s="85"/>
      <c r="K22" s="85"/>
      <c r="L22" s="85"/>
      <c r="M22" s="85"/>
      <c r="N22" s="85"/>
      <c r="O22" s="85"/>
      <c r="P22" s="85"/>
      <c r="Q22" s="85"/>
      <c r="R22" s="85"/>
      <c r="S22" s="85"/>
      <c r="T22" s="356">
        <v>207.27118392716397</v>
      </c>
      <c r="U22" s="356">
        <v>197.6434654601226</v>
      </c>
      <c r="V22" s="356">
        <v>189.70888290345903</v>
      </c>
      <c r="W22" s="356">
        <v>187.34881194976037</v>
      </c>
      <c r="X22" s="356">
        <v>202.5181892081408</v>
      </c>
      <c r="Y22" s="356">
        <f>AE22</f>
        <v>214.29099056443417</v>
      </c>
      <c r="Z22" s="356"/>
      <c r="AA22" s="354"/>
      <c r="AB22" s="356">
        <v>51.272309582593287</v>
      </c>
      <c r="AC22" s="356">
        <v>103.32502899747763</v>
      </c>
      <c r="AD22" s="356">
        <v>155.68909135466865</v>
      </c>
      <c r="AE22" s="356">
        <v>214.29099056443417</v>
      </c>
      <c r="AF22" s="356">
        <v>55.181583991277975</v>
      </c>
      <c r="AG22" s="360"/>
      <c r="AH22" s="360"/>
      <c r="AI22" s="360"/>
      <c r="AJ22" s="354"/>
      <c r="AK22" s="356">
        <f>AB22</f>
        <v>51.272309582593287</v>
      </c>
      <c r="AL22" s="356">
        <f t="shared" si="31"/>
        <v>52.052719414884344</v>
      </c>
      <c r="AM22" s="356">
        <f t="shared" si="31"/>
        <v>52.364062357191017</v>
      </c>
      <c r="AN22" s="356">
        <f t="shared" si="31"/>
        <v>58.60189920976552</v>
      </c>
      <c r="AO22" s="356">
        <f>AF22</f>
        <v>55.181583991277975</v>
      </c>
      <c r="AP22" s="356"/>
      <c r="AQ22" s="356"/>
      <c r="AR22" s="356"/>
      <c r="AS22" s="354"/>
      <c r="AT22" s="354"/>
      <c r="AU22" s="354"/>
      <c r="AV22" s="354"/>
      <c r="AW22" s="354"/>
      <c r="AX22" s="354"/>
      <c r="AY22" s="354"/>
      <c r="AZ22" s="78"/>
    </row>
    <row r="23" spans="2:52" ht="15" customHeight="1" x14ac:dyDescent="0.25">
      <c r="B23" s="85"/>
      <c r="C23" s="85"/>
      <c r="D23" s="85"/>
      <c r="E23" s="85"/>
      <c r="F23" s="85"/>
      <c r="G23" s="85"/>
      <c r="H23" s="85"/>
      <c r="I23" s="85"/>
      <c r="J23" s="85"/>
      <c r="K23" s="85"/>
      <c r="L23" s="85"/>
      <c r="M23" s="85"/>
      <c r="N23" s="85"/>
      <c r="O23" s="85"/>
      <c r="P23" s="85"/>
      <c r="Q23" s="85"/>
      <c r="R23" s="85"/>
      <c r="S23" s="85"/>
      <c r="AA23" s="354"/>
      <c r="AJ23" s="354"/>
      <c r="AS23" s="354"/>
      <c r="AT23" s="354"/>
      <c r="AU23" s="354"/>
      <c r="AV23" s="354"/>
      <c r="AW23" s="354"/>
      <c r="AX23" s="354"/>
      <c r="AY23" s="354"/>
      <c r="AZ23" s="78"/>
    </row>
    <row r="24" spans="2:52" ht="15" customHeight="1" x14ac:dyDescent="0.25">
      <c r="B24" s="173" t="s">
        <v>121</v>
      </c>
      <c r="C24" s="173"/>
      <c r="D24" s="173"/>
      <c r="E24" s="173"/>
      <c r="F24" s="173"/>
      <c r="G24" s="173"/>
      <c r="H24" s="173"/>
      <c r="I24" s="173"/>
      <c r="J24" s="173"/>
      <c r="K24" s="173"/>
      <c r="L24" s="173"/>
      <c r="M24" s="173"/>
      <c r="N24" s="173"/>
      <c r="O24" s="173"/>
      <c r="P24" s="173"/>
      <c r="Q24" s="173"/>
      <c r="R24" s="173"/>
      <c r="S24" s="173"/>
      <c r="T24" s="228">
        <v>2018</v>
      </c>
      <c r="U24" s="228">
        <v>2019</v>
      </c>
      <c r="V24" s="228">
        <v>2020</v>
      </c>
      <c r="W24" s="228">
        <v>2021</v>
      </c>
      <c r="X24" s="228">
        <v>2022</v>
      </c>
      <c r="Y24" s="231">
        <v>2023</v>
      </c>
      <c r="Z24" s="230">
        <v>2024</v>
      </c>
      <c r="AA24" s="354"/>
      <c r="AB24" s="231" t="s">
        <v>291</v>
      </c>
      <c r="AC24" s="231" t="s">
        <v>292</v>
      </c>
      <c r="AD24" s="231" t="s">
        <v>293</v>
      </c>
      <c r="AE24" s="231">
        <v>2023</v>
      </c>
      <c r="AF24" s="232" t="s">
        <v>318</v>
      </c>
      <c r="AG24" s="232" t="s">
        <v>319</v>
      </c>
      <c r="AH24" s="232" t="s">
        <v>320</v>
      </c>
      <c r="AI24" s="232">
        <v>2024</v>
      </c>
      <c r="AJ24" s="354"/>
      <c r="AK24" s="231" t="s">
        <v>291</v>
      </c>
      <c r="AL24" s="231" t="s">
        <v>296</v>
      </c>
      <c r="AM24" s="231" t="s">
        <v>294</v>
      </c>
      <c r="AN24" s="231" t="s">
        <v>295</v>
      </c>
      <c r="AO24" s="232" t="s">
        <v>318</v>
      </c>
      <c r="AP24" s="232" t="s">
        <v>321</v>
      </c>
      <c r="AQ24" s="232" t="s">
        <v>322</v>
      </c>
      <c r="AR24" s="232" t="s">
        <v>323</v>
      </c>
      <c r="AS24" s="354"/>
      <c r="AT24" s="354"/>
      <c r="AU24" s="354"/>
      <c r="AV24" s="354"/>
      <c r="AW24" s="354"/>
      <c r="AX24" s="354"/>
      <c r="AY24" s="354"/>
      <c r="AZ24" s="78"/>
    </row>
    <row r="25" spans="2:52" ht="15" customHeight="1" x14ac:dyDescent="0.25">
      <c r="B25" s="86" t="s">
        <v>122</v>
      </c>
      <c r="C25" s="86"/>
      <c r="D25" s="86"/>
      <c r="E25" s="86"/>
      <c r="F25" s="86"/>
      <c r="G25" s="86"/>
      <c r="H25" s="86"/>
      <c r="I25" s="86"/>
      <c r="J25" s="86"/>
      <c r="K25" s="86"/>
      <c r="L25" s="86"/>
      <c r="M25" s="86"/>
      <c r="N25" s="86"/>
      <c r="O25" s="86"/>
      <c r="P25" s="86"/>
      <c r="Q25" s="86"/>
      <c r="R25" s="86"/>
      <c r="S25" s="86"/>
      <c r="T25" s="355">
        <v>501.27418636730613</v>
      </c>
      <c r="U25" s="355">
        <v>910.75385095474621</v>
      </c>
      <c r="V25" s="355">
        <v>618.96521191624515</v>
      </c>
      <c r="W25" s="355">
        <v>749.31433690701556</v>
      </c>
      <c r="X25" s="355">
        <v>837.88881594595102</v>
      </c>
      <c r="Y25" s="355">
        <f t="shared" ref="Y25:Y32" si="32">AE25</f>
        <v>977.63164201660811</v>
      </c>
      <c r="Z25" s="355"/>
      <c r="AA25" s="354"/>
      <c r="AB25" s="355">
        <v>217.41597115235442</v>
      </c>
      <c r="AC25" s="355">
        <v>452.99761653869041</v>
      </c>
      <c r="AD25" s="355">
        <v>689.31188966437844</v>
      </c>
      <c r="AE25" s="355">
        <v>977.63164201660811</v>
      </c>
      <c r="AF25" s="355">
        <v>210.26748174503911</v>
      </c>
      <c r="AG25" s="360"/>
      <c r="AH25" s="360"/>
      <c r="AI25" s="360"/>
      <c r="AJ25" s="354"/>
      <c r="AK25" s="355">
        <f t="shared" ref="AK25:AK32" si="33">AB25</f>
        <v>217.41597115235442</v>
      </c>
      <c r="AL25" s="355">
        <f t="shared" ref="AL25:AN32" si="34">AC25-AB25</f>
        <v>235.58164538633599</v>
      </c>
      <c r="AM25" s="355">
        <f t="shared" si="34"/>
        <v>236.31427312568803</v>
      </c>
      <c r="AN25" s="355">
        <f t="shared" si="34"/>
        <v>288.31975235222967</v>
      </c>
      <c r="AO25" s="355">
        <f t="shared" ref="AO25:AO32" si="35">AF25</f>
        <v>210.26748174503911</v>
      </c>
      <c r="AP25" s="355"/>
      <c r="AQ25" s="355"/>
      <c r="AR25" s="355"/>
      <c r="AS25" s="354"/>
      <c r="AT25" s="354"/>
      <c r="AU25" s="354"/>
      <c r="AV25" s="354"/>
      <c r="AW25" s="354"/>
      <c r="AX25" s="354"/>
      <c r="AY25" s="354"/>
      <c r="AZ25" s="78"/>
    </row>
    <row r="26" spans="2:52" ht="15" customHeight="1" x14ac:dyDescent="0.25">
      <c r="B26" s="84" t="s">
        <v>51</v>
      </c>
      <c r="C26" s="84"/>
      <c r="D26" s="84"/>
      <c r="E26" s="84"/>
      <c r="F26" s="84"/>
      <c r="G26" s="84"/>
      <c r="H26" s="84"/>
      <c r="I26" s="84"/>
      <c r="J26" s="84"/>
      <c r="K26" s="84"/>
      <c r="L26" s="84"/>
      <c r="M26" s="84"/>
      <c r="N26" s="84"/>
      <c r="O26" s="84"/>
      <c r="P26" s="84"/>
      <c r="Q26" s="84"/>
      <c r="R26" s="84"/>
      <c r="S26" s="84"/>
      <c r="T26" s="356">
        <v>242.76451525000019</v>
      </c>
      <c r="U26" s="356">
        <v>270.38201271000003</v>
      </c>
      <c r="V26" s="356">
        <v>274.81396456000039</v>
      </c>
      <c r="W26" s="356">
        <v>290.89208916000308</v>
      </c>
      <c r="X26" s="356">
        <v>314.92282069000601</v>
      </c>
      <c r="Y26" s="356">
        <f t="shared" si="32"/>
        <v>384.42564498000132</v>
      </c>
      <c r="Z26" s="356"/>
      <c r="AA26" s="354"/>
      <c r="AB26" s="356">
        <v>95.460272039999253</v>
      </c>
      <c r="AC26" s="356">
        <v>198.23694306000175</v>
      </c>
      <c r="AD26" s="356">
        <v>287.61588897000246</v>
      </c>
      <c r="AE26" s="356">
        <v>384.42564498000132</v>
      </c>
      <c r="AF26" s="356">
        <v>96.516682259999996</v>
      </c>
      <c r="AG26" s="360"/>
      <c r="AH26" s="360"/>
      <c r="AI26" s="360"/>
      <c r="AJ26" s="354"/>
      <c r="AK26" s="356">
        <f t="shared" si="33"/>
        <v>95.460272039999253</v>
      </c>
      <c r="AL26" s="356">
        <f t="shared" si="34"/>
        <v>102.7766710200025</v>
      </c>
      <c r="AM26" s="356">
        <f t="shared" si="34"/>
        <v>89.378945910000709</v>
      </c>
      <c r="AN26" s="356">
        <f t="shared" si="34"/>
        <v>96.809756009998864</v>
      </c>
      <c r="AO26" s="356">
        <f t="shared" si="35"/>
        <v>96.516682259999996</v>
      </c>
      <c r="AP26" s="356"/>
      <c r="AQ26" s="356"/>
      <c r="AR26" s="356"/>
      <c r="AS26" s="354"/>
      <c r="AT26" s="354"/>
      <c r="AU26" s="354"/>
      <c r="AV26" s="354"/>
      <c r="AW26" s="354"/>
      <c r="AX26" s="354"/>
      <c r="AY26" s="354"/>
      <c r="AZ26" s="78"/>
    </row>
    <row r="27" spans="2:52" ht="15" customHeight="1" x14ac:dyDescent="0.25">
      <c r="B27" s="85" t="s">
        <v>50</v>
      </c>
      <c r="C27" s="85"/>
      <c r="D27" s="85"/>
      <c r="E27" s="85"/>
      <c r="F27" s="85"/>
      <c r="G27" s="85"/>
      <c r="H27" s="85"/>
      <c r="I27" s="85"/>
      <c r="J27" s="85"/>
      <c r="K27" s="85"/>
      <c r="L27" s="85"/>
      <c r="M27" s="85"/>
      <c r="N27" s="85"/>
      <c r="O27" s="85"/>
      <c r="P27" s="85"/>
      <c r="Q27" s="85"/>
      <c r="R27" s="85"/>
      <c r="S27" s="85"/>
      <c r="T27" s="356">
        <v>33.158020660000005</v>
      </c>
      <c r="U27" s="356">
        <v>39.118584269999999</v>
      </c>
      <c r="V27" s="356">
        <v>43.134613180000009</v>
      </c>
      <c r="W27" s="356">
        <v>121.18995915000001</v>
      </c>
      <c r="X27" s="356">
        <v>156.96476917000001</v>
      </c>
      <c r="Y27" s="356">
        <f t="shared" si="32"/>
        <v>178.8953444</v>
      </c>
      <c r="Z27" s="356"/>
      <c r="AA27" s="354"/>
      <c r="AB27" s="356">
        <v>18.849109139999978</v>
      </c>
      <c r="AC27" s="356">
        <v>52.160499250000008</v>
      </c>
      <c r="AD27" s="356">
        <v>95.102589560000126</v>
      </c>
      <c r="AE27" s="356">
        <v>178.8953444</v>
      </c>
      <c r="AF27" s="356">
        <v>32.407482680000001</v>
      </c>
      <c r="AG27" s="360"/>
      <c r="AH27" s="360"/>
      <c r="AI27" s="360"/>
      <c r="AJ27" s="354"/>
      <c r="AK27" s="356">
        <f t="shared" si="33"/>
        <v>18.849109139999978</v>
      </c>
      <c r="AL27" s="356">
        <f t="shared" si="34"/>
        <v>33.311390110000033</v>
      </c>
      <c r="AM27" s="356">
        <f t="shared" si="34"/>
        <v>42.942090310000118</v>
      </c>
      <c r="AN27" s="356">
        <f t="shared" si="34"/>
        <v>83.792754839999873</v>
      </c>
      <c r="AO27" s="356">
        <f t="shared" si="35"/>
        <v>32.407482680000001</v>
      </c>
      <c r="AP27" s="356"/>
      <c r="AQ27" s="356"/>
      <c r="AR27" s="356"/>
      <c r="AS27" s="354"/>
      <c r="AT27" s="354"/>
      <c r="AU27" s="354"/>
      <c r="AV27" s="354"/>
      <c r="AW27" s="354"/>
      <c r="AX27" s="354"/>
      <c r="AY27" s="354"/>
      <c r="AZ27" s="78"/>
    </row>
    <row r="28" spans="2:52" ht="15" customHeight="1" x14ac:dyDescent="0.25">
      <c r="B28" s="85" t="s">
        <v>39</v>
      </c>
      <c r="C28" s="156"/>
      <c r="D28" s="156"/>
      <c r="E28" s="156"/>
      <c r="F28" s="156"/>
      <c r="G28" s="156"/>
      <c r="H28" s="156"/>
      <c r="I28" s="156"/>
      <c r="J28" s="156"/>
      <c r="K28" s="156"/>
      <c r="L28" s="156"/>
      <c r="M28" s="156"/>
      <c r="N28" s="156"/>
      <c r="O28" s="156"/>
      <c r="P28" s="156"/>
      <c r="Q28" s="156"/>
      <c r="R28" s="156"/>
      <c r="S28" s="156"/>
      <c r="T28" s="356">
        <v>225.35165045730594</v>
      </c>
      <c r="U28" s="356">
        <v>601.25325397474626</v>
      </c>
      <c r="V28" s="356">
        <v>301.01663417624479</v>
      </c>
      <c r="W28" s="356">
        <v>337.23228859701243</v>
      </c>
      <c r="X28" s="356">
        <v>366.00122608594501</v>
      </c>
      <c r="Y28" s="356">
        <f t="shared" si="32"/>
        <v>414.31065263660679</v>
      </c>
      <c r="Z28" s="356"/>
      <c r="AA28" s="354"/>
      <c r="AB28" s="356">
        <v>103.10658997235518</v>
      </c>
      <c r="AC28" s="356">
        <v>202.60017422868862</v>
      </c>
      <c r="AD28" s="356">
        <v>306.5934111343758</v>
      </c>
      <c r="AE28" s="356">
        <v>414.31065263660679</v>
      </c>
      <c r="AF28" s="356">
        <v>81.343316805039109</v>
      </c>
      <c r="AG28" s="360"/>
      <c r="AH28" s="360"/>
      <c r="AI28" s="360"/>
      <c r="AJ28" s="354"/>
      <c r="AK28" s="356">
        <f t="shared" si="33"/>
        <v>103.10658997235518</v>
      </c>
      <c r="AL28" s="356">
        <f>AC28-AB28</f>
        <v>99.493584256333435</v>
      </c>
      <c r="AM28" s="356">
        <f t="shared" si="34"/>
        <v>103.99323690568718</v>
      </c>
      <c r="AN28" s="356">
        <f t="shared" si="34"/>
        <v>107.71724150223099</v>
      </c>
      <c r="AO28" s="356">
        <f t="shared" si="35"/>
        <v>81.343316805039109</v>
      </c>
      <c r="AP28" s="356"/>
      <c r="AQ28" s="356"/>
      <c r="AR28" s="356"/>
      <c r="AS28" s="354"/>
      <c r="AT28" s="354"/>
      <c r="AU28" s="354"/>
      <c r="AV28" s="354"/>
      <c r="AW28" s="354"/>
      <c r="AX28" s="354"/>
      <c r="AY28" s="354"/>
      <c r="AZ28" s="78"/>
    </row>
    <row r="29" spans="2:52" ht="15" customHeight="1" x14ac:dyDescent="0.25">
      <c r="B29" s="196" t="s">
        <v>415</v>
      </c>
      <c r="C29" s="157"/>
      <c r="D29" s="157"/>
      <c r="E29" s="157"/>
      <c r="F29" s="157"/>
      <c r="G29" s="157"/>
      <c r="H29" s="157"/>
      <c r="I29" s="157"/>
      <c r="J29" s="157"/>
      <c r="K29" s="157"/>
      <c r="L29" s="157"/>
      <c r="M29" s="157"/>
      <c r="N29" s="157"/>
      <c r="O29" s="157"/>
      <c r="P29" s="157"/>
      <c r="Q29" s="157"/>
      <c r="R29" s="157"/>
      <c r="S29" s="157"/>
      <c r="T29" s="357">
        <v>151.96219057611219</v>
      </c>
      <c r="U29" s="356">
        <v>16.309822091181399</v>
      </c>
      <c r="V29" s="356">
        <v>11.623443739636221</v>
      </c>
      <c r="W29" s="356">
        <v>21.561695126444608</v>
      </c>
      <c r="X29" s="356">
        <v>26.105780600172359</v>
      </c>
      <c r="Y29" s="356">
        <f t="shared" si="32"/>
        <v>24.035775138161778</v>
      </c>
      <c r="Z29" s="356"/>
      <c r="AA29" s="354"/>
      <c r="AB29" s="356">
        <v>6.1065899723551791</v>
      </c>
      <c r="AC29" s="356">
        <v>10.41266652799367</v>
      </c>
      <c r="AD29" s="356">
        <v>13.93383885124496</v>
      </c>
      <c r="AE29" s="356">
        <v>24.035775138161778</v>
      </c>
      <c r="AF29" s="356">
        <v>4.1627480755696498</v>
      </c>
      <c r="AG29" s="360"/>
      <c r="AH29" s="360"/>
      <c r="AI29" s="360"/>
      <c r="AJ29" s="354"/>
      <c r="AK29" s="356">
        <f t="shared" si="33"/>
        <v>6.1065899723551791</v>
      </c>
      <c r="AL29" s="356">
        <f t="shared" si="34"/>
        <v>4.3060765556384908</v>
      </c>
      <c r="AM29" s="356">
        <f t="shared" si="34"/>
        <v>3.5211723232512906</v>
      </c>
      <c r="AN29" s="356">
        <f t="shared" si="34"/>
        <v>10.101936286916818</v>
      </c>
      <c r="AO29" s="356">
        <f t="shared" si="35"/>
        <v>4.1627480755696498</v>
      </c>
      <c r="AP29" s="356"/>
      <c r="AQ29" s="356"/>
      <c r="AR29" s="356"/>
      <c r="AS29" s="354"/>
      <c r="AT29" s="354"/>
      <c r="AU29" s="354"/>
      <c r="AV29" s="354"/>
      <c r="AW29" s="354"/>
      <c r="AX29" s="354"/>
      <c r="AY29" s="354"/>
      <c r="AZ29" s="78"/>
    </row>
    <row r="30" spans="2:52" ht="15" customHeight="1" x14ac:dyDescent="0.25">
      <c r="B30" s="196" t="s">
        <v>414</v>
      </c>
      <c r="C30" s="157"/>
      <c r="D30" s="157"/>
      <c r="E30" s="157"/>
      <c r="F30" s="157"/>
      <c r="G30" s="157"/>
      <c r="H30" s="157"/>
      <c r="I30" s="157"/>
      <c r="J30" s="157"/>
      <c r="K30" s="157"/>
      <c r="L30" s="157"/>
      <c r="M30" s="157"/>
      <c r="N30" s="157"/>
      <c r="O30" s="157"/>
      <c r="P30" s="157"/>
      <c r="Q30" s="157"/>
      <c r="R30" s="157"/>
      <c r="S30" s="157"/>
      <c r="T30" s="357">
        <v>73.389459881193758</v>
      </c>
      <c r="U30" s="356">
        <v>584.94343188356481</v>
      </c>
      <c r="V30" s="356">
        <v>289.39319043660856</v>
      </c>
      <c r="W30" s="356">
        <v>315.67059347056784</v>
      </c>
      <c r="X30" s="356">
        <v>339.89544548577265</v>
      </c>
      <c r="Y30" s="356">
        <f t="shared" si="32"/>
        <v>390.27487749844499</v>
      </c>
      <c r="Z30" s="356"/>
      <c r="AB30" s="356">
        <v>97</v>
      </c>
      <c r="AC30" s="356">
        <v>192.18750770069494</v>
      </c>
      <c r="AD30" s="356">
        <v>292.65957228313084</v>
      </c>
      <c r="AE30" s="356">
        <v>390.27487749844499</v>
      </c>
      <c r="AF30" s="356">
        <v>77.180568729469456</v>
      </c>
      <c r="AG30" s="360"/>
      <c r="AH30" s="360"/>
      <c r="AI30" s="360"/>
      <c r="AK30" s="356">
        <f t="shared" si="33"/>
        <v>97</v>
      </c>
      <c r="AL30" s="356">
        <f t="shared" si="34"/>
        <v>95.187507700694937</v>
      </c>
      <c r="AM30" s="356">
        <f t="shared" si="34"/>
        <v>100.47206458243591</v>
      </c>
      <c r="AN30" s="356">
        <f t="shared" si="34"/>
        <v>97.615305215314152</v>
      </c>
      <c r="AO30" s="356">
        <f t="shared" si="35"/>
        <v>77.180568729469456</v>
      </c>
      <c r="AP30" s="356"/>
      <c r="AQ30" s="356"/>
      <c r="AR30" s="356"/>
    </row>
    <row r="31" spans="2:52" ht="15" customHeight="1" x14ac:dyDescent="0.25">
      <c r="B31" s="197" t="s">
        <v>247</v>
      </c>
      <c r="C31" s="157"/>
      <c r="D31" s="157"/>
      <c r="E31" s="157"/>
      <c r="F31" s="157"/>
      <c r="G31" s="157"/>
      <c r="H31" s="157"/>
      <c r="I31" s="157"/>
      <c r="J31" s="157"/>
      <c r="K31" s="157"/>
      <c r="L31" s="157"/>
      <c r="M31" s="157"/>
      <c r="N31" s="157"/>
      <c r="O31" s="157"/>
      <c r="P31" s="157"/>
      <c r="Q31" s="157"/>
      <c r="R31" s="157"/>
      <c r="S31" s="157"/>
      <c r="T31" s="357"/>
      <c r="U31" s="356">
        <v>130.2688554550038</v>
      </c>
      <c r="V31" s="356">
        <v>116.05314769528854</v>
      </c>
      <c r="W31" s="359">
        <v>150.56180290190017</v>
      </c>
      <c r="X31" s="359">
        <v>257.41627992880694</v>
      </c>
      <c r="Y31" s="359">
        <f t="shared" si="32"/>
        <v>283.75160854258883</v>
      </c>
      <c r="Z31" s="356"/>
      <c r="AB31" s="515">
        <v>71</v>
      </c>
      <c r="AC31" s="356">
        <v>140.53990230392506</v>
      </c>
      <c r="AD31" s="356">
        <v>205.07219060336442</v>
      </c>
      <c r="AE31" s="359">
        <v>283.75160854258883</v>
      </c>
      <c r="AF31" s="356">
        <v>53.901657649062997</v>
      </c>
      <c r="AG31" s="356"/>
      <c r="AH31" s="356"/>
      <c r="AI31" s="356"/>
      <c r="AK31" s="359">
        <f t="shared" si="33"/>
        <v>71</v>
      </c>
      <c r="AL31" s="359">
        <f>AC31-AB31</f>
        <v>69.539902303925061</v>
      </c>
      <c r="AM31" s="359">
        <f t="shared" si="34"/>
        <v>64.532288299439358</v>
      </c>
      <c r="AN31" s="359">
        <f t="shared" si="34"/>
        <v>78.679417939224408</v>
      </c>
      <c r="AO31" s="359">
        <f t="shared" si="35"/>
        <v>53.901657649062997</v>
      </c>
      <c r="AP31" s="359"/>
      <c r="AQ31" s="359"/>
      <c r="AR31" s="359"/>
    </row>
    <row r="32" spans="2:52" ht="15" customHeight="1" x14ac:dyDescent="0.25">
      <c r="B32" s="197" t="s">
        <v>124</v>
      </c>
      <c r="C32" s="157"/>
      <c r="D32" s="157"/>
      <c r="E32" s="157"/>
      <c r="F32" s="157"/>
      <c r="G32" s="157"/>
      <c r="H32" s="157"/>
      <c r="I32" s="157"/>
      <c r="J32" s="157"/>
      <c r="K32" s="157"/>
      <c r="L32" s="157"/>
      <c r="M32" s="157"/>
      <c r="N32" s="157"/>
      <c r="O32" s="157"/>
      <c r="P32" s="157"/>
      <c r="Q32" s="157"/>
      <c r="R32" s="157"/>
      <c r="S32" s="157"/>
      <c r="T32" s="357">
        <v>73</v>
      </c>
      <c r="U32" s="360">
        <v>454.67457642856101</v>
      </c>
      <c r="V32" s="356">
        <v>173.34004274132002</v>
      </c>
      <c r="W32" s="359">
        <v>165.10879056866767</v>
      </c>
      <c r="X32" s="359">
        <v>82.479165556965725</v>
      </c>
      <c r="Y32" s="359">
        <f t="shared" si="32"/>
        <v>105.52326895585617</v>
      </c>
      <c r="Z32" s="356"/>
      <c r="AB32" s="516">
        <v>26</v>
      </c>
      <c r="AC32" s="356">
        <v>51.647605396769869</v>
      </c>
      <c r="AD32" s="356">
        <v>87.587381679766395</v>
      </c>
      <c r="AE32" s="359">
        <v>105.52326895585617</v>
      </c>
      <c r="AF32" s="356">
        <v>23.278911080406459</v>
      </c>
      <c r="AG32" s="356"/>
      <c r="AH32" s="356"/>
      <c r="AI32" s="356"/>
      <c r="AK32" s="359">
        <f t="shared" si="33"/>
        <v>26</v>
      </c>
      <c r="AL32" s="359">
        <f t="shared" si="34"/>
        <v>25.647605396769869</v>
      </c>
      <c r="AM32" s="359">
        <f t="shared" si="34"/>
        <v>35.939776282996526</v>
      </c>
      <c r="AN32" s="359">
        <f t="shared" si="34"/>
        <v>17.935887276089773</v>
      </c>
      <c r="AO32" s="359">
        <f t="shared" si="35"/>
        <v>23.278911080406459</v>
      </c>
      <c r="AP32" s="359"/>
      <c r="AQ32" s="359"/>
      <c r="AR32" s="359"/>
    </row>
    <row r="33" spans="1:16351" ht="15" customHeight="1" x14ac:dyDescent="0.25">
      <c r="B33" s="85"/>
      <c r="C33" s="85"/>
      <c r="D33" s="85"/>
      <c r="E33" s="85"/>
      <c r="F33" s="85"/>
      <c r="G33" s="85"/>
      <c r="H33" s="85"/>
      <c r="I33" s="85"/>
      <c r="J33" s="85"/>
      <c r="K33" s="85"/>
      <c r="L33" s="85"/>
      <c r="M33" s="85"/>
      <c r="N33" s="85"/>
      <c r="O33" s="85"/>
      <c r="P33" s="85"/>
      <c r="Q33" s="85"/>
      <c r="R33" s="85"/>
      <c r="S33" s="85"/>
    </row>
    <row r="34" spans="1:16351" ht="15" customHeight="1" x14ac:dyDescent="0.25">
      <c r="B34" s="174" t="s">
        <v>78</v>
      </c>
      <c r="C34" s="174"/>
      <c r="D34" s="174"/>
      <c r="E34" s="174"/>
      <c r="F34" s="174"/>
      <c r="G34" s="174"/>
      <c r="H34" s="174"/>
      <c r="I34" s="174"/>
      <c r="J34" s="174"/>
      <c r="K34" s="174"/>
      <c r="L34" s="174"/>
      <c r="M34" s="174"/>
      <c r="N34" s="174"/>
      <c r="O34" s="174"/>
      <c r="P34" s="174"/>
      <c r="Q34" s="174"/>
      <c r="R34" s="174"/>
      <c r="S34" s="174"/>
      <c r="T34" s="228">
        <v>2018</v>
      </c>
      <c r="U34" s="228">
        <v>2019</v>
      </c>
      <c r="V34" s="228">
        <v>2020</v>
      </c>
      <c r="W34" s="228">
        <v>2021</v>
      </c>
      <c r="X34" s="228">
        <v>2022</v>
      </c>
      <c r="Y34" s="231">
        <v>2023</v>
      </c>
      <c r="Z34" s="230">
        <v>2024</v>
      </c>
      <c r="AB34" s="231" t="s">
        <v>291</v>
      </c>
      <c r="AC34" s="231" t="s">
        <v>292</v>
      </c>
      <c r="AD34" s="231" t="s">
        <v>293</v>
      </c>
      <c r="AE34" s="231">
        <v>2023</v>
      </c>
      <c r="AF34" s="232" t="s">
        <v>318</v>
      </c>
      <c r="AG34" s="232" t="s">
        <v>319</v>
      </c>
      <c r="AH34" s="232" t="s">
        <v>320</v>
      </c>
      <c r="AI34" s="232">
        <v>2024</v>
      </c>
      <c r="AK34" s="231" t="s">
        <v>291</v>
      </c>
      <c r="AL34" s="231" t="s">
        <v>296</v>
      </c>
      <c r="AM34" s="231" t="s">
        <v>294</v>
      </c>
      <c r="AN34" s="231" t="s">
        <v>295</v>
      </c>
      <c r="AO34" s="232" t="s">
        <v>318</v>
      </c>
      <c r="AP34" s="232" t="s">
        <v>321</v>
      </c>
      <c r="AQ34" s="232" t="s">
        <v>322</v>
      </c>
      <c r="AR34" s="232" t="s">
        <v>323</v>
      </c>
    </row>
    <row r="35" spans="1:16351" ht="15" customHeight="1" x14ac:dyDescent="0.25">
      <c r="B35" s="50" t="s">
        <v>248</v>
      </c>
      <c r="C35" s="50"/>
      <c r="D35" s="50"/>
      <c r="E35" s="50"/>
      <c r="F35" s="50"/>
      <c r="G35" s="50"/>
      <c r="H35" s="50"/>
      <c r="I35" s="50"/>
      <c r="J35" s="50"/>
      <c r="K35" s="50"/>
      <c r="L35" s="50"/>
      <c r="M35" s="50"/>
      <c r="N35" s="50"/>
      <c r="O35" s="50"/>
      <c r="P35" s="50"/>
      <c r="Q35" s="50"/>
      <c r="R35" s="50"/>
      <c r="S35" s="50"/>
      <c r="T35" s="260">
        <v>5002.4308876957693</v>
      </c>
      <c r="U35" s="260">
        <v>5653.6605321952302</v>
      </c>
      <c r="V35" s="261">
        <v>6042.5628988370081</v>
      </c>
      <c r="W35" s="261">
        <v>6222.6359097315253</v>
      </c>
      <c r="X35" s="261">
        <f>'Operating Data'!X119</f>
        <v>6977.1078753294314</v>
      </c>
      <c r="Y35" s="261">
        <f>+AE35</f>
        <v>7628.1698654516886</v>
      </c>
      <c r="Z35" s="260"/>
      <c r="AB35" s="261">
        <f>'Operating Data'!AB119</f>
        <v>7110.7561067210299</v>
      </c>
      <c r="AC35" s="261">
        <f>'Operating Data'!AC119</f>
        <v>7179.3600954524736</v>
      </c>
      <c r="AD35" s="261">
        <f>'Operating Data'!AD119</f>
        <v>7270.4375661071044</v>
      </c>
      <c r="AE35" s="261">
        <f>'Operating Data'!AE119</f>
        <v>7628.1698654516886</v>
      </c>
      <c r="AF35" s="261">
        <f>'Operating Data'!AF119</f>
        <v>7250.7263164228898</v>
      </c>
      <c r="AG35" s="261"/>
      <c r="AH35" s="261"/>
      <c r="AI35" s="261"/>
      <c r="AK35" s="261"/>
      <c r="AL35" s="361"/>
      <c r="AM35" s="361"/>
      <c r="AN35" s="361"/>
      <c r="AO35" s="361"/>
      <c r="AP35" s="361"/>
      <c r="AQ35" s="361"/>
      <c r="AR35" s="361"/>
    </row>
    <row r="36" spans="1:16351" ht="15" customHeight="1" x14ac:dyDescent="0.25">
      <c r="B36" s="109" t="s">
        <v>125</v>
      </c>
      <c r="C36" s="109"/>
      <c r="D36" s="109"/>
      <c r="E36" s="109"/>
      <c r="F36" s="109"/>
      <c r="G36" s="109"/>
      <c r="H36" s="109"/>
      <c r="I36" s="109"/>
      <c r="J36" s="109"/>
      <c r="K36" s="109"/>
      <c r="L36" s="109"/>
      <c r="M36" s="109"/>
      <c r="N36" s="109"/>
      <c r="O36" s="109"/>
      <c r="P36" s="109"/>
      <c r="Q36" s="109"/>
      <c r="R36" s="109"/>
      <c r="S36" s="109"/>
      <c r="T36" s="253">
        <v>2995.7289300000002</v>
      </c>
      <c r="U36" s="253">
        <v>2973.9040199999999</v>
      </c>
      <c r="V36" s="345">
        <v>2906.1210799999999</v>
      </c>
      <c r="W36" s="345">
        <v>2833.1728400000002</v>
      </c>
      <c r="X36" s="345">
        <f>'Operating Data'!X107</f>
        <v>2935.1695199999999</v>
      </c>
      <c r="Y36" s="345">
        <f>+AE36</f>
        <v>2938.9917681832003</v>
      </c>
      <c r="Z36" s="253"/>
      <c r="AB36" s="345">
        <f>'Operating Data'!AB107</f>
        <v>2938.9917681832003</v>
      </c>
      <c r="AC36" s="345">
        <f>'Operating Data'!AC107</f>
        <v>2938.9917681832003</v>
      </c>
      <c r="AD36" s="345">
        <f>'Operating Data'!AD107</f>
        <v>2938.9917681832003</v>
      </c>
      <c r="AE36" s="345">
        <f>'Operating Data'!AE107</f>
        <v>2938.9917681832003</v>
      </c>
      <c r="AF36" s="345">
        <f>'Operating Data'!AF107</f>
        <v>2970.7629314344999</v>
      </c>
      <c r="AG36" s="345"/>
      <c r="AH36" s="345"/>
      <c r="AI36" s="345"/>
      <c r="AK36" s="345"/>
      <c r="AL36" s="361"/>
      <c r="AM36" s="361"/>
      <c r="AN36" s="361"/>
      <c r="AO36" s="361"/>
      <c r="AP36" s="361"/>
      <c r="AQ36" s="361"/>
      <c r="AR36" s="361"/>
    </row>
    <row r="37" spans="1:16351" ht="15" customHeight="1" x14ac:dyDescent="0.25">
      <c r="B37" s="44" t="s">
        <v>180</v>
      </c>
      <c r="C37" s="44"/>
      <c r="D37" s="44"/>
      <c r="E37" s="44"/>
      <c r="F37" s="44"/>
      <c r="G37" s="44"/>
      <c r="H37" s="44"/>
      <c r="I37" s="44"/>
      <c r="J37" s="44"/>
      <c r="K37" s="44"/>
      <c r="L37" s="44"/>
      <c r="M37" s="44"/>
      <c r="N37" s="44"/>
      <c r="O37" s="44"/>
      <c r="P37" s="44"/>
      <c r="Q37" s="44"/>
      <c r="R37" s="44"/>
      <c r="S37" s="44"/>
      <c r="T37" s="253">
        <v>950</v>
      </c>
      <c r="U37" s="253">
        <v>950</v>
      </c>
      <c r="V37" s="345">
        <v>1706</v>
      </c>
      <c r="W37" s="345">
        <v>1890.6</v>
      </c>
      <c r="X37" s="345">
        <f>'Operating Data'!X111</f>
        <v>1890.6</v>
      </c>
      <c r="Y37" s="345">
        <f>+AE37</f>
        <v>1867.431</v>
      </c>
      <c r="Z37" s="253"/>
      <c r="AB37" s="345">
        <f>'Operating Data'!AB111</f>
        <v>1867.4</v>
      </c>
      <c r="AC37" s="345">
        <f>'Operating Data'!AC111</f>
        <v>1867.4</v>
      </c>
      <c r="AD37" s="345">
        <f>'Operating Data'!AD111</f>
        <v>1867.4</v>
      </c>
      <c r="AE37" s="345">
        <f>'Operating Data'!AE111</f>
        <v>1867.431</v>
      </c>
      <c r="AF37" s="345">
        <f>'Operating Data'!AF111</f>
        <v>1894.2</v>
      </c>
      <c r="AG37" s="345"/>
      <c r="AH37" s="345"/>
      <c r="AI37" s="345"/>
      <c r="AK37" s="345"/>
      <c r="AL37" s="361"/>
      <c r="AM37" s="361"/>
      <c r="AN37" s="361"/>
      <c r="AO37" s="361"/>
      <c r="AP37" s="361"/>
      <c r="AQ37" s="361"/>
      <c r="AR37" s="361"/>
    </row>
    <row r="38" spans="1:16351" ht="15" customHeight="1" x14ac:dyDescent="0.25">
      <c r="B38" s="44" t="s">
        <v>39</v>
      </c>
      <c r="C38" s="44"/>
      <c r="D38" s="44"/>
      <c r="E38" s="44"/>
      <c r="F38" s="44"/>
      <c r="G38" s="44"/>
      <c r="H38" s="44"/>
      <c r="I38" s="44"/>
      <c r="J38" s="44"/>
      <c r="K38" s="44"/>
      <c r="L38" s="44"/>
      <c r="M38" s="44"/>
      <c r="N38" s="44"/>
      <c r="O38" s="44"/>
      <c r="P38" s="44"/>
      <c r="Q38" s="44"/>
      <c r="R38" s="44"/>
      <c r="S38" s="44"/>
      <c r="T38" s="253">
        <f>T35-T36-T37</f>
        <v>1056.7019576957691</v>
      </c>
      <c r="U38" s="253">
        <f>U35-U36-U37</f>
        <v>1729.7565121952302</v>
      </c>
      <c r="V38" s="345">
        <f>V35-V36-V37</f>
        <v>1430.4418188370082</v>
      </c>
      <c r="W38" s="345">
        <f>W35-W36-W37</f>
        <v>1498.8630697315252</v>
      </c>
      <c r="X38" s="345">
        <f t="shared" ref="X38" si="36">X35-X36-X37</f>
        <v>2151.3383553294316</v>
      </c>
      <c r="Y38" s="345">
        <f>+AE38</f>
        <v>2821.7470972684882</v>
      </c>
      <c r="Z38" s="253"/>
      <c r="AB38" s="345">
        <f t="shared" ref="AB38:AC38" si="37">AB35-AB36-AB37</f>
        <v>2304.3643385378296</v>
      </c>
      <c r="AC38" s="345">
        <f t="shared" si="37"/>
        <v>2372.9683272692732</v>
      </c>
      <c r="AD38" s="345">
        <f t="shared" ref="AD38:AF38" si="38">AD35-AD36-AD37</f>
        <v>2464.045797923904</v>
      </c>
      <c r="AE38" s="345">
        <f t="shared" si="38"/>
        <v>2821.7470972684882</v>
      </c>
      <c r="AF38" s="345">
        <f t="shared" si="38"/>
        <v>2385.7633849883905</v>
      </c>
      <c r="AG38" s="345"/>
      <c r="AH38" s="345"/>
      <c r="AI38" s="345"/>
      <c r="AK38" s="345"/>
      <c r="AL38" s="361"/>
      <c r="AM38" s="361"/>
      <c r="AN38" s="361"/>
      <c r="AO38" s="361"/>
      <c r="AP38" s="361"/>
      <c r="AQ38" s="361"/>
      <c r="AR38" s="361"/>
    </row>
    <row r="39" spans="1:16351" ht="15" customHeight="1" x14ac:dyDescent="0.25">
      <c r="B39" s="40"/>
      <c r="C39" s="40"/>
      <c r="D39" s="40"/>
      <c r="E39" s="40"/>
      <c r="F39" s="40"/>
      <c r="G39" s="40"/>
      <c r="H39" s="40"/>
      <c r="I39" s="40"/>
      <c r="J39" s="40"/>
      <c r="K39" s="40"/>
      <c r="L39" s="40"/>
      <c r="M39" s="40"/>
      <c r="N39" s="40"/>
      <c r="O39" s="40"/>
      <c r="P39" s="40"/>
      <c r="Q39" s="40"/>
      <c r="R39" s="40"/>
      <c r="S39" s="40"/>
      <c r="T39" s="362"/>
    </row>
    <row r="40" spans="1:16351" ht="15" customHeight="1" x14ac:dyDescent="0.25">
      <c r="B40" s="34" t="s">
        <v>126</v>
      </c>
      <c r="C40" s="34"/>
      <c r="D40" s="34"/>
      <c r="E40" s="34"/>
      <c r="F40" s="34"/>
      <c r="G40" s="34"/>
      <c r="H40" s="34"/>
      <c r="I40" s="34"/>
      <c r="J40" s="34"/>
      <c r="K40" s="34"/>
      <c r="L40" s="34"/>
      <c r="M40" s="34"/>
      <c r="N40" s="34"/>
      <c r="O40" s="34"/>
      <c r="P40" s="34"/>
      <c r="Q40" s="34"/>
      <c r="R40" s="34"/>
      <c r="S40" s="34"/>
      <c r="T40" s="227"/>
      <c r="U40" s="227"/>
      <c r="V40" s="363"/>
      <c r="W40" s="363"/>
      <c r="X40" s="363"/>
      <c r="Y40" s="363"/>
      <c r="Z40" s="363"/>
      <c r="AA40" s="354"/>
      <c r="AB40" s="363"/>
      <c r="AC40" s="363"/>
      <c r="AD40" s="363"/>
      <c r="AE40" s="363"/>
      <c r="AF40" s="363"/>
      <c r="AG40" s="364"/>
      <c r="AH40" s="364"/>
      <c r="AI40" s="364"/>
      <c r="AJ40" s="354"/>
      <c r="AK40" s="363"/>
      <c r="AS40" s="354"/>
      <c r="AT40" s="354"/>
      <c r="AU40" s="354"/>
      <c r="AV40" s="354"/>
      <c r="AW40" s="354"/>
      <c r="AX40" s="354"/>
      <c r="AY40" s="354"/>
      <c r="AZ40" s="78"/>
    </row>
    <row r="41" spans="1:16351" ht="15" customHeight="1" x14ac:dyDescent="0.25">
      <c r="B41" s="34" t="s">
        <v>127</v>
      </c>
      <c r="C41" s="34"/>
      <c r="D41" s="34"/>
      <c r="E41" s="34"/>
      <c r="F41" s="34"/>
      <c r="G41" s="34"/>
      <c r="H41" s="34"/>
      <c r="I41" s="34"/>
      <c r="J41" s="34"/>
      <c r="K41" s="34"/>
      <c r="L41" s="34"/>
      <c r="M41" s="34"/>
      <c r="N41" s="34"/>
      <c r="O41" s="34"/>
      <c r="P41" s="34"/>
      <c r="Q41" s="34"/>
      <c r="R41" s="34"/>
      <c r="S41" s="34"/>
      <c r="T41" s="260">
        <v>339176.79271471</v>
      </c>
      <c r="U41" s="260">
        <v>340743.86855800997</v>
      </c>
      <c r="V41" s="261">
        <v>375006.69482664997</v>
      </c>
      <c r="W41" s="261">
        <v>378316.74136099999</v>
      </c>
      <c r="X41" s="261">
        <f>'Operating Data'!X122</f>
        <v>382973.24617399997</v>
      </c>
      <c r="Y41" s="261">
        <f t="shared" ref="Y41:Y46" si="39">AE41</f>
        <v>386701.18458600005</v>
      </c>
      <c r="Z41" s="260"/>
      <c r="AB41" s="261">
        <f>'Operating Data'!AB122</f>
        <v>383481.44003699999</v>
      </c>
      <c r="AC41" s="261">
        <f>'Operating Data'!AC122</f>
        <v>383834.07565199997</v>
      </c>
      <c r="AD41" s="261">
        <f>'Operating Data'!AD122</f>
        <v>385096.41690100002</v>
      </c>
      <c r="AE41" s="261">
        <f>'Operating Data'!AE122</f>
        <v>386701.18458600005</v>
      </c>
      <c r="AF41" s="261">
        <f>'Operating Data'!AF122</f>
        <v>386296.68632899999</v>
      </c>
      <c r="AG41" s="261"/>
      <c r="AH41" s="261"/>
      <c r="AI41" s="261"/>
      <c r="AK41" s="261"/>
      <c r="AL41" s="361"/>
      <c r="AM41" s="361"/>
      <c r="AN41" s="361"/>
      <c r="AO41" s="361"/>
      <c r="AP41" s="361"/>
      <c r="AQ41" s="361"/>
      <c r="AR41" s="361"/>
    </row>
    <row r="42" spans="1:16351" ht="15" customHeight="1" x14ac:dyDescent="0.25">
      <c r="B42" s="44" t="s">
        <v>51</v>
      </c>
      <c r="C42" s="44"/>
      <c r="D42" s="44"/>
      <c r="E42" s="44"/>
      <c r="F42" s="44"/>
      <c r="G42" s="44"/>
      <c r="H42" s="44"/>
      <c r="I42" s="44"/>
      <c r="J42" s="44"/>
      <c r="K42" s="44"/>
      <c r="L42" s="44"/>
      <c r="M42" s="44"/>
      <c r="N42" s="44"/>
      <c r="O42" s="44"/>
      <c r="P42" s="44"/>
      <c r="Q42" s="44"/>
      <c r="R42" s="44"/>
      <c r="S42" s="44"/>
      <c r="T42" s="253">
        <v>226307.95253800001</v>
      </c>
      <c r="U42" s="253">
        <v>226822.67702099998</v>
      </c>
      <c r="V42" s="345">
        <v>228349.13084600001</v>
      </c>
      <c r="W42" s="345">
        <v>230675.76</v>
      </c>
      <c r="X42" s="345">
        <f>'Operating Data'!X123</f>
        <v>232089.07</v>
      </c>
      <c r="Y42" s="345">
        <f t="shared" si="39"/>
        <v>234668.49000000002</v>
      </c>
      <c r="Z42" s="253"/>
      <c r="AB42" s="345">
        <f>'Operating Data'!AB123</f>
        <v>232328.33979900001</v>
      </c>
      <c r="AC42" s="345">
        <f>'Operating Data'!AC123</f>
        <v>232405.74749599997</v>
      </c>
      <c r="AD42" s="345">
        <f>'Operating Data'!AD123</f>
        <v>233374.68000000002</v>
      </c>
      <c r="AE42" s="345">
        <f>'Operating Data'!AE123</f>
        <v>234668.49000000002</v>
      </c>
      <c r="AF42" s="345">
        <f>'Operating Data'!AF123</f>
        <v>234773.65</v>
      </c>
      <c r="AG42" s="345"/>
      <c r="AH42" s="345"/>
      <c r="AI42" s="345"/>
      <c r="AK42" s="345"/>
      <c r="AL42" s="361"/>
      <c r="AM42" s="361"/>
      <c r="AN42" s="361"/>
      <c r="AO42" s="361"/>
      <c r="AP42" s="361"/>
      <c r="AQ42" s="361"/>
      <c r="AR42" s="361"/>
    </row>
    <row r="43" spans="1:16351" ht="15" customHeight="1" x14ac:dyDescent="0.25">
      <c r="B43" s="44" t="s">
        <v>50</v>
      </c>
      <c r="C43" s="44"/>
      <c r="D43" s="44"/>
      <c r="E43" s="44"/>
      <c r="F43" s="44"/>
      <c r="G43" s="44"/>
      <c r="H43" s="44"/>
      <c r="I43" s="44"/>
      <c r="J43" s="44"/>
      <c r="K43" s="44"/>
      <c r="L43" s="44"/>
      <c r="M43" s="44"/>
      <c r="N43" s="44"/>
      <c r="O43" s="44"/>
      <c r="P43" s="44"/>
      <c r="Q43" s="44"/>
      <c r="R43" s="44"/>
      <c r="S43" s="44"/>
      <c r="T43" s="253">
        <v>20708.8619119</v>
      </c>
      <c r="U43" s="253">
        <v>20766.2411565</v>
      </c>
      <c r="V43" s="345">
        <v>52491.503800000006</v>
      </c>
      <c r="W43" s="345">
        <v>52493.235000000001</v>
      </c>
      <c r="X43" s="345">
        <f>'Operating Data'!X124</f>
        <v>52644.083999999988</v>
      </c>
      <c r="Y43" s="345">
        <f t="shared" si="39"/>
        <v>52847.952899999997</v>
      </c>
      <c r="Z43" s="253"/>
      <c r="AA43" s="354"/>
      <c r="AB43" s="345">
        <f>'Operating Data'!AB124</f>
        <v>52683.419000000002</v>
      </c>
      <c r="AC43" s="345">
        <f>'Operating Data'!AC124</f>
        <v>52728.525999999991</v>
      </c>
      <c r="AD43" s="345">
        <f>'Operating Data'!AD124</f>
        <v>52759.008999999991</v>
      </c>
      <c r="AE43" s="345">
        <f>'Operating Data'!AE124</f>
        <v>52847.952899999997</v>
      </c>
      <c r="AF43" s="345">
        <f>'Operating Data'!AF124</f>
        <v>52902.809899999993</v>
      </c>
      <c r="AG43" s="345"/>
      <c r="AH43" s="345"/>
      <c r="AI43" s="345"/>
      <c r="AJ43" s="354"/>
      <c r="AK43" s="345"/>
      <c r="AL43" s="361"/>
      <c r="AM43" s="361"/>
      <c r="AN43" s="361"/>
      <c r="AO43" s="361"/>
      <c r="AP43" s="361"/>
      <c r="AQ43" s="361"/>
      <c r="AR43" s="361"/>
      <c r="AS43" s="354"/>
      <c r="AT43" s="354"/>
      <c r="AU43" s="354"/>
      <c r="AV43" s="354"/>
      <c r="AW43" s="354"/>
      <c r="AX43" s="354"/>
      <c r="AY43" s="354"/>
      <c r="AZ43" s="78"/>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row>
    <row r="44" spans="1:16351" ht="15" customHeight="1" x14ac:dyDescent="0.25">
      <c r="A44" s="50"/>
      <c r="B44" s="44" t="s">
        <v>39</v>
      </c>
      <c r="C44" s="44"/>
      <c r="D44" s="44"/>
      <c r="E44" s="44"/>
      <c r="F44" s="44"/>
      <c r="G44" s="44"/>
      <c r="H44" s="44"/>
      <c r="I44" s="44"/>
      <c r="J44" s="44"/>
      <c r="K44" s="44"/>
      <c r="L44" s="44"/>
      <c r="M44" s="44"/>
      <c r="N44" s="44"/>
      <c r="O44" s="44"/>
      <c r="P44" s="44"/>
      <c r="Q44" s="44"/>
      <c r="R44" s="44"/>
      <c r="S44" s="44"/>
      <c r="T44" s="253">
        <v>92159.978264809994</v>
      </c>
      <c r="U44" s="253">
        <v>93267.950380509996</v>
      </c>
      <c r="V44" s="345">
        <v>94166.060180650005</v>
      </c>
      <c r="W44" s="345">
        <v>95147.746360999998</v>
      </c>
      <c r="X44" s="345">
        <f>'Operating Data'!X125</f>
        <v>98240.09217399999</v>
      </c>
      <c r="Y44" s="345">
        <f t="shared" si="39"/>
        <v>99184.741686000008</v>
      </c>
      <c r="Z44" s="253"/>
      <c r="AA44" s="354"/>
      <c r="AB44" s="345">
        <f>'Operating Data'!AB125</f>
        <v>98469.681237999976</v>
      </c>
      <c r="AC44" s="345">
        <f>'Operating Data'!AC125</f>
        <v>98699.802156000005</v>
      </c>
      <c r="AD44" s="345">
        <f>'Operating Data'!AD125</f>
        <v>98962.727900999991</v>
      </c>
      <c r="AE44" s="345">
        <f>'Operating Data'!AE125</f>
        <v>99184.741686000008</v>
      </c>
      <c r="AF44" s="345">
        <f>'Operating Data'!AF125</f>
        <v>98620.226428999988</v>
      </c>
      <c r="AG44" s="345"/>
      <c r="AH44" s="345"/>
      <c r="AI44" s="345"/>
      <c r="AJ44" s="354"/>
      <c r="AK44" s="345"/>
      <c r="AL44" s="361"/>
      <c r="AM44" s="361"/>
      <c r="AN44" s="361"/>
      <c r="AO44" s="361"/>
      <c r="AP44" s="361"/>
      <c r="AQ44" s="361"/>
      <c r="AR44" s="361"/>
      <c r="AS44" s="354"/>
      <c r="AT44" s="354"/>
      <c r="AU44" s="354"/>
      <c r="AV44" s="354"/>
      <c r="AW44" s="354"/>
      <c r="AX44" s="354"/>
      <c r="AY44" s="354"/>
      <c r="AZ44" s="78"/>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row>
    <row r="45" spans="1:16351" ht="15" customHeight="1" x14ac:dyDescent="0.25">
      <c r="A45" s="41"/>
      <c r="B45" s="38" t="s">
        <v>123</v>
      </c>
      <c r="C45" s="38"/>
      <c r="D45" s="38"/>
      <c r="E45" s="38"/>
      <c r="F45" s="38"/>
      <c r="G45" s="38"/>
      <c r="H45" s="38"/>
      <c r="I45" s="38"/>
      <c r="J45" s="38"/>
      <c r="K45" s="38"/>
      <c r="L45" s="38"/>
      <c r="M45" s="38"/>
      <c r="N45" s="38"/>
      <c r="O45" s="38"/>
      <c r="P45" s="38"/>
      <c r="Q45" s="38"/>
      <c r="R45" s="38"/>
      <c r="S45" s="38"/>
      <c r="T45" s="253">
        <v>92159.978264809994</v>
      </c>
      <c r="U45" s="253">
        <v>93154.950380509996</v>
      </c>
      <c r="V45" s="345">
        <v>93850.060180650005</v>
      </c>
      <c r="W45" s="345">
        <v>94985.699804000003</v>
      </c>
      <c r="X45" s="345">
        <f>'Operating Data'!X126</f>
        <v>96054.708243999994</v>
      </c>
      <c r="Y45" s="345">
        <f t="shared" si="39"/>
        <v>96999.357756000012</v>
      </c>
      <c r="Z45" s="253"/>
      <c r="AA45" s="354"/>
      <c r="AB45" s="345">
        <f>'Operating Data'!AB126</f>
        <v>96284.297307999979</v>
      </c>
      <c r="AC45" s="345">
        <f>'Operating Data'!AC126</f>
        <v>96514.418226000009</v>
      </c>
      <c r="AD45" s="345">
        <f>'Operating Data'!AD126</f>
        <v>96777.343970999995</v>
      </c>
      <c r="AE45" s="345">
        <f>'Operating Data'!AE126</f>
        <v>96999.357756000012</v>
      </c>
      <c r="AF45" s="345">
        <f>'Operating Data'!AF126</f>
        <v>97174.842498999991</v>
      </c>
      <c r="AG45" s="345"/>
      <c r="AH45" s="345"/>
      <c r="AI45" s="345"/>
      <c r="AJ45" s="354"/>
      <c r="AK45" s="345"/>
      <c r="AL45" s="361"/>
      <c r="AM45" s="361"/>
      <c r="AN45" s="361"/>
      <c r="AO45" s="361"/>
      <c r="AP45" s="361"/>
      <c r="AQ45" s="361"/>
      <c r="AR45" s="361"/>
      <c r="AS45" s="354"/>
      <c r="AT45" s="354"/>
      <c r="AU45" s="354"/>
      <c r="AV45" s="354"/>
      <c r="AW45" s="354"/>
      <c r="AX45" s="354"/>
      <c r="AY45" s="354"/>
      <c r="AZ45" s="78"/>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row>
    <row r="46" spans="1:16351" ht="15" customHeight="1" x14ac:dyDescent="0.25">
      <c r="A46" s="41"/>
      <c r="B46" s="45" t="s">
        <v>124</v>
      </c>
      <c r="C46" s="45"/>
      <c r="D46" s="45"/>
      <c r="E46" s="45"/>
      <c r="F46" s="45"/>
      <c r="G46" s="45"/>
      <c r="H46" s="45"/>
      <c r="I46" s="45"/>
      <c r="J46" s="45"/>
      <c r="K46" s="45"/>
      <c r="L46" s="45"/>
      <c r="M46" s="45"/>
      <c r="N46" s="45"/>
      <c r="O46" s="45"/>
      <c r="P46" s="45"/>
      <c r="Q46" s="45"/>
      <c r="R46" s="45"/>
      <c r="S46" s="45"/>
      <c r="T46" s="253">
        <v>0</v>
      </c>
      <c r="U46" s="253">
        <v>113</v>
      </c>
      <c r="V46" s="345">
        <v>316</v>
      </c>
      <c r="W46" s="345">
        <v>162.04655700000001</v>
      </c>
      <c r="X46" s="345">
        <f>'Operating Data'!X127</f>
        <v>2185.38393</v>
      </c>
      <c r="Y46" s="345">
        <f t="shared" si="39"/>
        <v>2185.38393</v>
      </c>
      <c r="Z46" s="253"/>
      <c r="AA46" s="354"/>
      <c r="AB46" s="345">
        <f>'Operating Data'!AB127</f>
        <v>2185.38393</v>
      </c>
      <c r="AC46" s="345">
        <f>'Operating Data'!AC127</f>
        <v>2185.38393</v>
      </c>
      <c r="AD46" s="345">
        <f>'Operating Data'!AD127</f>
        <v>2185.38393</v>
      </c>
      <c r="AE46" s="345">
        <f>'Operating Data'!AE127</f>
        <v>2185.38393</v>
      </c>
      <c r="AF46" s="345">
        <f>'Operating Data'!AF127</f>
        <v>1445.38393</v>
      </c>
      <c r="AG46" s="345"/>
      <c r="AH46" s="345"/>
      <c r="AI46" s="345"/>
      <c r="AJ46" s="354"/>
      <c r="AK46" s="345"/>
      <c r="AL46" s="361"/>
      <c r="AM46" s="361"/>
      <c r="AN46" s="361"/>
      <c r="AO46" s="361"/>
      <c r="AP46" s="361"/>
      <c r="AQ46" s="361"/>
      <c r="AR46" s="361"/>
      <c r="AS46" s="354"/>
      <c r="AT46" s="354"/>
      <c r="AU46" s="354"/>
      <c r="AV46" s="354"/>
      <c r="AW46" s="354"/>
      <c r="AX46" s="354"/>
      <c r="AY46" s="354"/>
      <c r="AZ46" s="78"/>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row>
    <row r="47" spans="1:16351" ht="15" customHeight="1" x14ac:dyDescent="0.25">
      <c r="A47" s="41"/>
      <c r="B47" s="44"/>
      <c r="C47" s="44"/>
      <c r="D47" s="44"/>
      <c r="E47" s="44"/>
      <c r="F47" s="44"/>
      <c r="G47" s="44"/>
      <c r="H47" s="44"/>
      <c r="I47" s="44"/>
      <c r="J47" s="44"/>
      <c r="K47" s="44"/>
      <c r="L47" s="44"/>
      <c r="M47" s="44"/>
      <c r="N47" s="44"/>
      <c r="O47" s="44"/>
      <c r="P47" s="44"/>
      <c r="Q47" s="44"/>
      <c r="R47" s="44"/>
      <c r="S47" s="44"/>
      <c r="T47" s="253"/>
      <c r="U47" s="253"/>
      <c r="V47" s="345"/>
      <c r="W47" s="345"/>
      <c r="X47" s="345"/>
      <c r="Y47" s="345"/>
      <c r="Z47" s="253"/>
      <c r="AB47" s="345"/>
      <c r="AC47" s="345"/>
      <c r="AD47" s="345"/>
      <c r="AE47" s="345"/>
      <c r="AF47" s="345"/>
      <c r="AK47" s="345"/>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row>
    <row r="48" spans="1:16351" ht="15" customHeight="1" x14ac:dyDescent="0.25">
      <c r="A48" s="41"/>
      <c r="B48" s="34" t="s">
        <v>128</v>
      </c>
      <c r="C48" s="34"/>
      <c r="D48" s="34"/>
      <c r="E48" s="34"/>
      <c r="F48" s="34"/>
      <c r="G48" s="34"/>
      <c r="H48" s="34"/>
      <c r="I48" s="34"/>
      <c r="J48" s="34"/>
      <c r="K48" s="34"/>
      <c r="L48" s="34"/>
      <c r="M48" s="34"/>
      <c r="N48" s="34"/>
      <c r="O48" s="34"/>
      <c r="P48" s="34"/>
      <c r="Q48" s="34"/>
      <c r="R48" s="34"/>
      <c r="S48" s="34"/>
      <c r="T48" s="260"/>
      <c r="U48" s="260"/>
      <c r="V48" s="345"/>
      <c r="W48" s="345"/>
      <c r="X48" s="345"/>
      <c r="Y48" s="345"/>
      <c r="Z48" s="260"/>
      <c r="AB48" s="345"/>
      <c r="AC48" s="345"/>
      <c r="AD48" s="345"/>
      <c r="AE48" s="345"/>
      <c r="AF48" s="345"/>
      <c r="AK48" s="345"/>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row>
    <row r="49" spans="1:16351" ht="15" customHeight="1" x14ac:dyDescent="0.25">
      <c r="B49" s="44" t="s">
        <v>51</v>
      </c>
      <c r="C49" s="44"/>
      <c r="D49" s="44"/>
      <c r="E49" s="44"/>
      <c r="F49" s="44"/>
      <c r="G49" s="44"/>
      <c r="H49" s="44"/>
      <c r="I49" s="44"/>
      <c r="J49" s="44"/>
      <c r="K49" s="44"/>
      <c r="L49" s="44"/>
      <c r="M49" s="44"/>
      <c r="N49" s="44"/>
      <c r="O49" s="44"/>
      <c r="P49" s="44"/>
      <c r="Q49" s="44"/>
      <c r="R49" s="44"/>
      <c r="S49" s="44"/>
      <c r="T49" s="345">
        <v>19.076000000000001</v>
      </c>
      <c r="U49" s="345">
        <v>22.513999999999999</v>
      </c>
      <c r="V49" s="345">
        <v>27.030999999999999</v>
      </c>
      <c r="W49" s="345">
        <v>34.082000000000001</v>
      </c>
      <c r="X49" s="345">
        <f>'Operating Data'!X130</f>
        <v>39.841999999999999</v>
      </c>
      <c r="Y49" s="345">
        <f>+AE49</f>
        <v>58.472999999999999</v>
      </c>
      <c r="Z49" s="345"/>
      <c r="AB49" s="345">
        <f>'Operating Data'!AB130</f>
        <v>44.773000000000003</v>
      </c>
      <c r="AC49" s="345">
        <f>'Operating Data'!AC130</f>
        <v>49.616</v>
      </c>
      <c r="AD49" s="345">
        <f>'Operating Data'!AD130</f>
        <v>49.616</v>
      </c>
      <c r="AE49" s="345">
        <f>'Operating Data'!AE130</f>
        <v>58.472999999999999</v>
      </c>
      <c r="AF49" s="345">
        <f>'Operating Data'!AF130</f>
        <v>62.887</v>
      </c>
      <c r="AK49" s="345"/>
      <c r="AL49" s="361"/>
      <c r="AM49" s="361"/>
      <c r="AN49" s="361"/>
      <c r="AO49" s="361"/>
      <c r="AP49" s="361"/>
      <c r="AQ49" s="361"/>
      <c r="AR49" s="361"/>
    </row>
    <row r="50" spans="1:16351" ht="15" customHeight="1" x14ac:dyDescent="0.25">
      <c r="B50" s="37" t="s">
        <v>50</v>
      </c>
      <c r="C50" s="37"/>
      <c r="D50" s="37"/>
      <c r="E50" s="37"/>
      <c r="F50" s="37"/>
      <c r="G50" s="37"/>
      <c r="H50" s="37"/>
      <c r="I50" s="37"/>
      <c r="J50" s="37"/>
      <c r="K50" s="37"/>
      <c r="L50" s="37"/>
      <c r="M50" s="37"/>
      <c r="N50" s="37"/>
      <c r="O50" s="37"/>
      <c r="P50" s="37"/>
      <c r="Q50" s="37"/>
      <c r="R50" s="37"/>
      <c r="S50" s="37"/>
      <c r="T50" s="345">
        <v>6.8810000000000002</v>
      </c>
      <c r="U50" s="345">
        <v>6.8810000000000002</v>
      </c>
      <c r="V50" s="345">
        <v>18.571999999999999</v>
      </c>
      <c r="W50" s="345">
        <v>18.701000000000001</v>
      </c>
      <c r="X50" s="345">
        <f>'Operating Data'!X131</f>
        <v>18.725999999999999</v>
      </c>
      <c r="Y50" s="345">
        <f>+AE50</f>
        <v>18.93</v>
      </c>
      <c r="Z50" s="345"/>
      <c r="AB50" s="345">
        <f>'Operating Data'!AB131</f>
        <v>18.739999999999998</v>
      </c>
      <c r="AC50" s="345">
        <f>'Operating Data'!AC131</f>
        <v>18.745999999999999</v>
      </c>
      <c r="AD50" s="345">
        <f>'Operating Data'!AD131</f>
        <v>18.745999999999999</v>
      </c>
      <c r="AE50" s="345">
        <f>'Operating Data'!AE131</f>
        <v>18.93</v>
      </c>
      <c r="AF50" s="345">
        <f>'Operating Data'!AF131</f>
        <v>18.771000000000001</v>
      </c>
      <c r="AK50" s="345"/>
      <c r="AL50" s="361"/>
      <c r="AM50" s="361"/>
      <c r="AN50" s="361"/>
      <c r="AO50" s="361"/>
      <c r="AP50" s="361"/>
      <c r="AQ50" s="361"/>
      <c r="AR50" s="361"/>
    </row>
    <row r="51" spans="1:16351" ht="15" customHeight="1" x14ac:dyDescent="0.25">
      <c r="B51" s="4"/>
      <c r="C51" s="4"/>
      <c r="D51" s="4"/>
      <c r="E51" s="4"/>
      <c r="F51" s="4"/>
      <c r="G51" s="4"/>
      <c r="H51" s="4"/>
      <c r="I51" s="4"/>
      <c r="J51" s="4"/>
      <c r="K51" s="4"/>
      <c r="L51" s="4"/>
      <c r="M51" s="4"/>
      <c r="N51" s="4"/>
      <c r="O51" s="4"/>
      <c r="P51" s="4"/>
      <c r="Q51" s="4"/>
      <c r="R51" s="4"/>
      <c r="S51" s="4"/>
      <c r="T51" s="345"/>
      <c r="U51" s="345"/>
      <c r="V51" s="345"/>
      <c r="W51" s="345"/>
      <c r="X51" s="345"/>
      <c r="Y51" s="345"/>
      <c r="Z51" s="345"/>
      <c r="AB51" s="345"/>
      <c r="AC51" s="345"/>
      <c r="AD51" s="345"/>
      <c r="AE51" s="345"/>
      <c r="AF51" s="345"/>
      <c r="AK51" s="345"/>
    </row>
    <row r="52" spans="1:16351" ht="15" customHeight="1" x14ac:dyDescent="0.25">
      <c r="B52" s="34" t="s">
        <v>129</v>
      </c>
      <c r="C52" s="34"/>
      <c r="D52" s="34"/>
      <c r="E52" s="34"/>
      <c r="F52" s="34"/>
      <c r="G52" s="34"/>
      <c r="H52" s="34"/>
      <c r="I52" s="34"/>
      <c r="J52" s="34"/>
      <c r="K52" s="34"/>
      <c r="L52" s="34"/>
      <c r="M52" s="34"/>
      <c r="N52" s="34"/>
      <c r="O52" s="34"/>
      <c r="P52" s="34"/>
      <c r="Q52" s="34"/>
      <c r="R52" s="34"/>
      <c r="S52" s="34"/>
      <c r="T52" s="345"/>
      <c r="U52" s="345"/>
      <c r="V52" s="345"/>
      <c r="W52" s="345"/>
      <c r="X52" s="345"/>
      <c r="Y52" s="345"/>
      <c r="Z52" s="345"/>
      <c r="AB52" s="345"/>
      <c r="AC52" s="345"/>
      <c r="AD52" s="345"/>
      <c r="AE52" s="345"/>
      <c r="AF52" s="345"/>
      <c r="AK52" s="345"/>
    </row>
    <row r="53" spans="1:16351" ht="15" customHeight="1" x14ac:dyDescent="0.25">
      <c r="B53" s="161" t="s">
        <v>51</v>
      </c>
      <c r="C53" s="161"/>
      <c r="D53" s="161"/>
      <c r="E53" s="161"/>
      <c r="F53" s="161"/>
      <c r="G53" s="161"/>
      <c r="H53" s="161"/>
      <c r="I53" s="161"/>
      <c r="J53" s="161"/>
      <c r="K53" s="161"/>
      <c r="L53" s="161"/>
      <c r="M53" s="161"/>
      <c r="N53" s="161"/>
      <c r="O53" s="161"/>
      <c r="P53" s="161"/>
      <c r="Q53" s="161"/>
      <c r="R53" s="161"/>
      <c r="S53" s="161"/>
      <c r="T53" s="345">
        <v>1922.991</v>
      </c>
      <c r="U53" s="345">
        <v>2578.1669999999999</v>
      </c>
      <c r="V53" s="345">
        <v>3208.2089999999998</v>
      </c>
      <c r="W53" s="345">
        <v>3983.1039999999998</v>
      </c>
      <c r="X53" s="345">
        <f>'Operating Data'!X134</f>
        <v>4593.9399999999996</v>
      </c>
      <c r="Y53" s="345">
        <f>+AE53</f>
        <v>5620.1880000000001</v>
      </c>
      <c r="Z53" s="345"/>
      <c r="AA53" s="345"/>
      <c r="AB53" s="345">
        <f>'Operating Data'!AB134</f>
        <v>4854.1869999999999</v>
      </c>
      <c r="AC53" s="345">
        <f>'Operating Data'!AC134</f>
        <v>5110.8779999999997</v>
      </c>
      <c r="AD53" s="345">
        <f>'Operating Data'!AD134</f>
        <v>5365.8720000000003</v>
      </c>
      <c r="AE53" s="345">
        <f>'Operating Data'!AE134</f>
        <v>5620.1880000000001</v>
      </c>
      <c r="AF53" s="345">
        <f>'Operating Data'!AF134</f>
        <v>5883.7049999999999</v>
      </c>
      <c r="AG53" s="345"/>
      <c r="AH53" s="345"/>
      <c r="AI53" s="345"/>
      <c r="AK53" s="345"/>
      <c r="AL53" s="361"/>
      <c r="AM53" s="361"/>
      <c r="AN53" s="361"/>
      <c r="AO53" s="361"/>
      <c r="AP53" s="361"/>
      <c r="AQ53" s="361"/>
      <c r="AR53" s="361"/>
    </row>
    <row r="54" spans="1:16351" ht="15" customHeight="1" x14ac:dyDescent="0.25">
      <c r="B54" s="206" t="s">
        <v>142</v>
      </c>
      <c r="C54" s="161"/>
      <c r="D54" s="161"/>
      <c r="E54" s="161"/>
      <c r="F54" s="161"/>
      <c r="G54" s="161"/>
      <c r="H54" s="161"/>
      <c r="I54" s="161"/>
      <c r="J54" s="161"/>
      <c r="K54" s="161"/>
      <c r="L54" s="161"/>
      <c r="M54" s="161"/>
      <c r="N54" s="161"/>
      <c r="O54" s="161"/>
      <c r="P54" s="161"/>
      <c r="Q54" s="161"/>
      <c r="R54" s="161"/>
      <c r="S54" s="161"/>
      <c r="T54" s="365" t="s">
        <v>17</v>
      </c>
      <c r="U54" s="365">
        <v>0.41070893200610825</v>
      </c>
      <c r="V54" s="365">
        <v>0.50903986706166515</v>
      </c>
      <c r="W54" s="365">
        <v>0.62527662234482184</v>
      </c>
      <c r="X54" s="365">
        <f>'Operating Data'!X135</f>
        <v>0.71503025999642933</v>
      </c>
      <c r="Y54" s="365">
        <f>+AE54</f>
        <v>0.86672190677376038</v>
      </c>
      <c r="Z54" s="345"/>
      <c r="AA54" s="365"/>
      <c r="AB54" s="365">
        <f>'Operating Data'!AB135</f>
        <v>0.75383862076762476</v>
      </c>
      <c r="AC54" s="365">
        <f>'Operating Data'!AC135</f>
        <v>0.79110174266336608</v>
      </c>
      <c r="AD54" s="365">
        <f>'Operating Data'!AD135</f>
        <v>0.82872491468146081</v>
      </c>
      <c r="AE54" s="365">
        <f>'Operating Data'!AE135</f>
        <v>0.86672190677376038</v>
      </c>
      <c r="AF54" s="365">
        <f>'Operating Data'!AF135</f>
        <v>0.9064527450071731</v>
      </c>
      <c r="AG54" s="365"/>
      <c r="AH54" s="365"/>
      <c r="AI54" s="365"/>
      <c r="AK54" s="345"/>
      <c r="AL54" s="361"/>
      <c r="AM54" s="361"/>
      <c r="AN54" s="361"/>
      <c r="AO54" s="361"/>
      <c r="AP54" s="361"/>
      <c r="AQ54" s="361"/>
      <c r="AR54" s="361"/>
    </row>
    <row r="55" spans="1:16351" ht="15" customHeight="1" x14ac:dyDescent="0.25">
      <c r="B55" s="44" t="s">
        <v>50</v>
      </c>
      <c r="C55" s="44"/>
      <c r="D55" s="44"/>
      <c r="E55" s="44"/>
      <c r="F55" s="44"/>
      <c r="G55" s="44"/>
      <c r="H55" s="44"/>
      <c r="I55" s="44"/>
      <c r="J55" s="44"/>
      <c r="K55" s="44"/>
      <c r="L55" s="44"/>
      <c r="M55" s="44"/>
      <c r="N55" s="44"/>
      <c r="O55" s="44"/>
      <c r="P55" s="44"/>
      <c r="Q55" s="44"/>
      <c r="R55" s="44"/>
      <c r="S55" s="44"/>
      <c r="T55" s="345">
        <v>644.31700000000001</v>
      </c>
      <c r="U55" s="345">
        <v>666.08399999999995</v>
      </c>
      <c r="V55" s="345">
        <v>1368.8430000000001</v>
      </c>
      <c r="W55" s="345">
        <v>1372.72</v>
      </c>
      <c r="X55" s="345">
        <f>'Operating Data'!X136</f>
        <v>1373.145</v>
      </c>
      <c r="Y55" s="345">
        <f>+AE55</f>
        <v>1379.7860000000001</v>
      </c>
      <c r="Z55" s="345"/>
      <c r="AA55" s="345"/>
      <c r="AB55" s="345">
        <f>'Operating Data'!AB136</f>
        <v>1376.1379999999999</v>
      </c>
      <c r="AC55" s="345">
        <f>'Operating Data'!AC136</f>
        <v>1378.0640000000001</v>
      </c>
      <c r="AD55" s="345">
        <f>'Operating Data'!AD136</f>
        <v>1380.087</v>
      </c>
      <c r="AE55" s="345">
        <f>'Operating Data'!AE136</f>
        <v>1379.7860000000001</v>
      </c>
      <c r="AF55" s="345">
        <f>'Operating Data'!AF136</f>
        <v>1374.991</v>
      </c>
      <c r="AG55" s="345"/>
      <c r="AH55" s="345"/>
      <c r="AI55" s="345"/>
      <c r="AK55" s="345"/>
      <c r="AL55" s="361"/>
      <c r="AM55" s="361"/>
      <c r="AN55" s="361"/>
      <c r="AO55" s="361"/>
      <c r="AP55" s="361"/>
      <c r="AQ55" s="361"/>
      <c r="AR55" s="361"/>
    </row>
    <row r="56" spans="1:16351" ht="15" customHeight="1" x14ac:dyDescent="0.25">
      <c r="B56" s="35"/>
      <c r="C56" s="35"/>
      <c r="D56" s="35"/>
      <c r="E56" s="35"/>
      <c r="F56" s="35"/>
      <c r="G56" s="35"/>
      <c r="H56" s="35"/>
      <c r="I56" s="35"/>
      <c r="J56" s="35"/>
      <c r="K56" s="35"/>
      <c r="L56" s="35"/>
      <c r="M56" s="35"/>
      <c r="N56" s="35"/>
      <c r="O56" s="35"/>
      <c r="P56" s="35"/>
      <c r="Q56" s="35"/>
      <c r="R56" s="35"/>
      <c r="S56" s="35"/>
      <c r="T56" s="366"/>
      <c r="U56" s="366"/>
      <c r="V56" s="292"/>
      <c r="W56" s="223"/>
      <c r="X56" s="223"/>
      <c r="Y56" s="223"/>
      <c r="Z56" s="253"/>
      <c r="AB56" s="223"/>
      <c r="AC56" s="223"/>
      <c r="AD56" s="223"/>
      <c r="AE56" s="223"/>
      <c r="AF56" s="223"/>
      <c r="AG56" s="223"/>
      <c r="AH56" s="223"/>
      <c r="AI56" s="223"/>
      <c r="AK56" s="223"/>
    </row>
    <row r="57" spans="1:16351" ht="15" customHeight="1" x14ac:dyDescent="0.25">
      <c r="B57" s="48" t="s">
        <v>130</v>
      </c>
      <c r="C57" s="48"/>
      <c r="D57" s="48"/>
      <c r="E57" s="48"/>
      <c r="F57" s="48"/>
      <c r="G57" s="48"/>
      <c r="H57" s="48"/>
      <c r="I57" s="48"/>
      <c r="J57" s="48"/>
      <c r="K57" s="48"/>
      <c r="L57" s="48"/>
      <c r="M57" s="48"/>
      <c r="N57" s="48"/>
      <c r="O57" s="48"/>
      <c r="P57" s="48"/>
      <c r="Q57" s="48"/>
      <c r="R57" s="48"/>
      <c r="S57" s="48"/>
      <c r="T57" s="260">
        <v>10343.085999999999</v>
      </c>
      <c r="U57" s="260">
        <v>10469.967000000001</v>
      </c>
      <c r="V57" s="260">
        <v>11274.154</v>
      </c>
      <c r="W57" s="260">
        <v>11427.066999999999</v>
      </c>
      <c r="X57" s="260">
        <f>'Operating Data'!X152</f>
        <v>11582.843000000001</v>
      </c>
      <c r="Y57" s="260">
        <f t="shared" ref="Y57:Y63" si="40">+AE57</f>
        <v>11757.7</v>
      </c>
      <c r="Z57" s="260"/>
      <c r="AA57" s="260"/>
      <c r="AB57" s="260">
        <f>'Operating Data'!AB152</f>
        <v>11634.205</v>
      </c>
      <c r="AC57" s="260">
        <f>'Operating Data'!AC152</f>
        <v>11667.752</v>
      </c>
      <c r="AD57" s="260">
        <f>'Operating Data'!AD152</f>
        <v>11711.041999999999</v>
      </c>
      <c r="AE57" s="260">
        <f>'Operating Data'!AE152</f>
        <v>11757.7</v>
      </c>
      <c r="AF57" s="260">
        <f>'Operating Data'!AF152</f>
        <v>11771.85</v>
      </c>
      <c r="AG57" s="260"/>
      <c r="AH57" s="260"/>
      <c r="AI57" s="260"/>
      <c r="AK57" s="261"/>
      <c r="AL57" s="261"/>
      <c r="AM57" s="261"/>
      <c r="AN57" s="261"/>
      <c r="AO57" s="261"/>
      <c r="AP57" s="261"/>
      <c r="AQ57" s="261"/>
      <c r="AR57" s="261"/>
    </row>
    <row r="58" spans="1:16351" ht="15" customHeight="1" x14ac:dyDescent="0.25">
      <c r="B58" s="44" t="s">
        <v>51</v>
      </c>
      <c r="C58" s="44"/>
      <c r="D58" s="44"/>
      <c r="E58" s="44"/>
      <c r="F58" s="44"/>
      <c r="G58" s="44"/>
      <c r="H58" s="44"/>
      <c r="I58" s="44"/>
      <c r="J58" s="44"/>
      <c r="K58" s="44"/>
      <c r="L58" s="44"/>
      <c r="M58" s="44"/>
      <c r="N58" s="44"/>
      <c r="O58" s="44"/>
      <c r="P58" s="44"/>
      <c r="Q58" s="44"/>
      <c r="R58" s="44"/>
      <c r="S58" s="44"/>
      <c r="T58" s="253">
        <v>6225.643</v>
      </c>
      <c r="U58" s="253">
        <v>6277.3580000000002</v>
      </c>
      <c r="V58" s="253">
        <v>6302.4709999999995</v>
      </c>
      <c r="W58" s="253">
        <v>6370.1469999999999</v>
      </c>
      <c r="X58" s="253">
        <f>'Operating Data'!X139</f>
        <v>6424.8190000000004</v>
      </c>
      <c r="Y58" s="253">
        <f t="shared" si="40"/>
        <v>6484.4189999999999</v>
      </c>
      <c r="Z58" s="253"/>
      <c r="AA58" s="253"/>
      <c r="AB58" s="253">
        <f>'Operating Data'!AB139</f>
        <v>6439.2920000000004</v>
      </c>
      <c r="AC58" s="253">
        <f>'Operating Data'!AC139</f>
        <v>6460.4560000000001</v>
      </c>
      <c r="AD58" s="253">
        <f>'Operating Data'!AD139</f>
        <v>6474.8530000000001</v>
      </c>
      <c r="AE58" s="253">
        <f>'Operating Data'!AE139</f>
        <v>6484.4189999999999</v>
      </c>
      <c r="AF58" s="253">
        <f>'Operating Data'!AF139</f>
        <v>6490.9120000000003</v>
      </c>
      <c r="AG58" s="253"/>
      <c r="AH58" s="253"/>
      <c r="AI58" s="253"/>
      <c r="AK58" s="345"/>
      <c r="AL58" s="345"/>
      <c r="AM58" s="345"/>
      <c r="AN58" s="345"/>
      <c r="AO58" s="345"/>
      <c r="AP58" s="345"/>
      <c r="AQ58" s="345"/>
      <c r="AR58" s="345"/>
    </row>
    <row r="59" spans="1:16351" ht="15" customHeight="1" x14ac:dyDescent="0.25">
      <c r="B59" s="158" t="s">
        <v>131</v>
      </c>
      <c r="C59" s="158"/>
      <c r="D59" s="158"/>
      <c r="E59" s="158"/>
      <c r="F59" s="158"/>
      <c r="G59" s="158"/>
      <c r="H59" s="158"/>
      <c r="I59" s="158"/>
      <c r="J59" s="158"/>
      <c r="K59" s="158"/>
      <c r="L59" s="158"/>
      <c r="M59" s="158"/>
      <c r="N59" s="158"/>
      <c r="O59" s="158"/>
      <c r="P59" s="158"/>
      <c r="Q59" s="158"/>
      <c r="R59" s="158"/>
      <c r="S59" s="158"/>
      <c r="T59" s="367" t="s">
        <v>17</v>
      </c>
      <c r="U59" s="367">
        <f>IFERROR(IF(OR(U58/T58-1&gt;2,U58/T58-1&lt;-0.95),"-",U58/T58-1),"-")</f>
        <v>8.3067724892031958E-3</v>
      </c>
      <c r="V59" s="368">
        <f>IFERROR(IF(OR(V58/U58-1&gt;2,V58/U58-1&lt;-0.95),"-",V58/U58-1),"-")</f>
        <v>4.0005683919890345E-3</v>
      </c>
      <c r="W59" s="369">
        <f>IFERROR(IF(OR(W58/V58-1&gt;2,W58/V58-1&lt;-0.95),"-",W58/V58-1),"-")</f>
        <v>1.0738010535867648E-2</v>
      </c>
      <c r="X59" s="369" t="str">
        <f>IFERROR(IF(OR(X58/Q58-1&gt;2,X58/Q58-1&lt;-0.95),"-",X58/Q58-1),"-")</f>
        <v>-</v>
      </c>
      <c r="Y59" s="369" t="str">
        <f t="shared" si="40"/>
        <v>-</v>
      </c>
      <c r="Z59" s="367"/>
      <c r="AB59" s="369" t="str">
        <f>IFERROR(IF(OR(AB58/#REF!-1&gt;2,AB58/#REF!-1&lt;-0.95),"-",AB58/#REF!-1),"-")</f>
        <v>-</v>
      </c>
      <c r="AC59" s="369" t="str">
        <f>IFERROR(IF(OR(AC58/#REF!-1&gt;2,AC58/#REF!-1&lt;-0.95),"-",AC58/#REF!-1),"-")</f>
        <v>-</v>
      </c>
      <c r="AD59" s="369" t="str">
        <f>IFERROR(IF(OR(AD58/#REF!-1&gt;2,AD58/#REF!-1&lt;-0.95),"-",AD58/#REF!-1),"-")</f>
        <v>-</v>
      </c>
      <c r="AE59" s="369" t="str">
        <f>IFERROR(IF(OR(AE58/#REF!-1&gt;2,AE58/#REF!-1&lt;-0.95),"-",AE58/#REF!-1),"-")</f>
        <v>-</v>
      </c>
      <c r="AF59" s="369" t="str">
        <f>IFERROR(IF(OR(AF58/#REF!-1&gt;2,AF58/#REF!-1&lt;-0.95),"-",AF58/#REF!-1),"-")</f>
        <v>-</v>
      </c>
      <c r="AG59" s="369"/>
      <c r="AH59" s="369"/>
      <c r="AI59" s="369"/>
      <c r="AK59" s="370"/>
      <c r="AL59" s="370"/>
      <c r="AM59" s="370"/>
      <c r="AN59" s="370"/>
      <c r="AO59" s="370"/>
      <c r="AP59" s="370"/>
      <c r="AQ59" s="370"/>
      <c r="AR59" s="370"/>
    </row>
    <row r="60" spans="1:16351" ht="15" customHeight="1" x14ac:dyDescent="0.25">
      <c r="B60" s="44" t="s">
        <v>50</v>
      </c>
      <c r="C60" s="44"/>
      <c r="D60" s="44"/>
      <c r="E60" s="44"/>
      <c r="F60" s="44"/>
      <c r="G60" s="44"/>
      <c r="H60" s="44"/>
      <c r="I60" s="44"/>
      <c r="J60" s="44"/>
      <c r="K60" s="44"/>
      <c r="L60" s="44"/>
      <c r="M60" s="44"/>
      <c r="N60" s="44"/>
      <c r="O60" s="44"/>
      <c r="P60" s="44"/>
      <c r="Q60" s="44"/>
      <c r="R60" s="44"/>
      <c r="S60" s="44"/>
      <c r="T60" s="253">
        <v>666.40299999999991</v>
      </c>
      <c r="U60" s="253">
        <v>668.49400000000003</v>
      </c>
      <c r="V60" s="253">
        <v>1370.902</v>
      </c>
      <c r="W60" s="253">
        <v>1376.4780000000001</v>
      </c>
      <c r="X60" s="253">
        <f>'Operating Data'!X144</f>
        <v>1383.123</v>
      </c>
      <c r="Y60" s="253">
        <f t="shared" si="40"/>
        <v>1390.5250000000001</v>
      </c>
      <c r="Z60" s="253"/>
      <c r="AA60" s="253"/>
      <c r="AB60" s="253">
        <f>'Operating Data'!AB144</f>
        <v>1384.337</v>
      </c>
      <c r="AC60" s="253">
        <f>'Operating Data'!AC144</f>
        <v>1386.2739999999999</v>
      </c>
      <c r="AD60" s="253">
        <f>'Operating Data'!AD144</f>
        <v>1388.2739999999999</v>
      </c>
      <c r="AE60" s="253">
        <f>'Operating Data'!AE144</f>
        <v>1390.5250000000001</v>
      </c>
      <c r="AF60" s="253">
        <f>'Operating Data'!AF144</f>
        <v>1391.933</v>
      </c>
      <c r="AG60" s="253"/>
      <c r="AH60" s="253"/>
      <c r="AI60" s="253"/>
      <c r="AK60" s="345"/>
      <c r="AL60" s="345"/>
      <c r="AM60" s="345"/>
      <c r="AN60" s="345"/>
      <c r="AO60" s="345"/>
      <c r="AP60" s="345"/>
      <c r="AQ60" s="345"/>
      <c r="AR60" s="345"/>
    </row>
    <row r="61" spans="1:16351" ht="15" customHeight="1" x14ac:dyDescent="0.25">
      <c r="B61" s="158" t="s">
        <v>131</v>
      </c>
      <c r="C61" s="158"/>
      <c r="D61" s="158"/>
      <c r="E61" s="158"/>
      <c r="F61" s="158"/>
      <c r="G61" s="158"/>
      <c r="H61" s="158"/>
      <c r="I61" s="158"/>
      <c r="J61" s="158"/>
      <c r="K61" s="158"/>
      <c r="L61" s="158"/>
      <c r="M61" s="158"/>
      <c r="N61" s="158"/>
      <c r="O61" s="158"/>
      <c r="P61" s="158"/>
      <c r="Q61" s="158"/>
      <c r="R61" s="158"/>
      <c r="S61" s="158"/>
      <c r="T61" s="367" t="s">
        <v>17</v>
      </c>
      <c r="U61" s="367">
        <f>IFERROR(IF(OR(U60/T60-1&gt;2,U60/T60-1&lt;-0.95),"-",U60/T60-1),"-")</f>
        <v>3.1377409765565023E-3</v>
      </c>
      <c r="V61" s="368">
        <f>IFERROR(IF(OR(V60/U60-1&gt;2,V60/U60-1&lt;-0.95),"-",V60/U60-1),"-")</f>
        <v>1.0507319437422025</v>
      </c>
      <c r="W61" s="369">
        <f>IFERROR(IF(OR(W60/V60-1&gt;2,W60/V60-1&lt;-0.95),"-",W60/V60-1),"-")</f>
        <v>4.0673950435552442E-3</v>
      </c>
      <c r="X61" s="369" t="str">
        <f>IFERROR(IF(OR(X60/Q60-1&gt;2,X60/Q60-1&lt;-0.95),"-",X60/Q60-1),"-")</f>
        <v>-</v>
      </c>
      <c r="Y61" s="369" t="str">
        <f t="shared" si="40"/>
        <v>-</v>
      </c>
      <c r="Z61" s="367"/>
      <c r="AB61" s="369" t="str">
        <f>IFERROR(IF(OR(AB60/#REF!-1&gt;2,AB60/#REF!-1&lt;-0.95),"-",AB60/#REF!-1),"-")</f>
        <v>-</v>
      </c>
      <c r="AC61" s="369" t="str">
        <f>IFERROR(IF(OR(AC60/#REF!-1&gt;2,AC60/#REF!-1&lt;-0.95),"-",AC60/#REF!-1),"-")</f>
        <v>-</v>
      </c>
      <c r="AD61" s="369" t="str">
        <f>IFERROR(IF(OR(AD60/#REF!-1&gt;2,AD60/#REF!-1&lt;-0.95),"-",AD60/#REF!-1),"-")</f>
        <v>-</v>
      </c>
      <c r="AE61" s="369" t="str">
        <f>IFERROR(IF(OR(AE60/#REF!-1&gt;2,AE60/#REF!-1&lt;-0.95),"-",AE60/#REF!-1),"-")</f>
        <v>-</v>
      </c>
      <c r="AF61" s="369" t="str">
        <f>IFERROR(IF(OR(AF60/#REF!-1&gt;2,AF60/#REF!-1&lt;-0.95),"-",AF60/#REF!-1),"-")</f>
        <v>-</v>
      </c>
      <c r="AG61" s="369"/>
      <c r="AH61" s="369"/>
      <c r="AI61" s="369"/>
      <c r="AK61" s="370"/>
      <c r="AL61" s="370"/>
      <c r="AM61" s="370"/>
      <c r="AN61" s="370"/>
      <c r="AO61" s="370"/>
      <c r="AP61" s="370"/>
      <c r="AQ61" s="370"/>
      <c r="AR61" s="370"/>
    </row>
    <row r="62" spans="1:16351" ht="15" customHeight="1" x14ac:dyDescent="0.25">
      <c r="B62" s="44" t="s">
        <v>39</v>
      </c>
      <c r="C62" s="44"/>
      <c r="D62" s="44"/>
      <c r="E62" s="44"/>
      <c r="F62" s="44"/>
      <c r="G62" s="44"/>
      <c r="H62" s="44"/>
      <c r="I62" s="44"/>
      <c r="J62" s="44"/>
      <c r="K62" s="44"/>
      <c r="L62" s="44"/>
      <c r="M62" s="44"/>
      <c r="N62" s="44"/>
      <c r="O62" s="44"/>
      <c r="P62" s="44"/>
      <c r="Q62" s="44"/>
      <c r="R62" s="44"/>
      <c r="S62" s="44"/>
      <c r="T62" s="253">
        <v>3451.04</v>
      </c>
      <c r="U62" s="253">
        <v>3524.1149999999998</v>
      </c>
      <c r="V62" s="253">
        <v>3600.7809999999999</v>
      </c>
      <c r="W62" s="253">
        <v>3680.442</v>
      </c>
      <c r="X62" s="253">
        <f>'Operating Data'!X148</f>
        <v>3774.9009999999998</v>
      </c>
      <c r="Y62" s="253">
        <f t="shared" si="40"/>
        <v>3882.7559999999999</v>
      </c>
      <c r="Z62" s="253"/>
      <c r="AA62" s="253"/>
      <c r="AB62" s="253">
        <f>'Operating Data'!AB148</f>
        <v>3810.576</v>
      </c>
      <c r="AC62" s="253">
        <f>'Operating Data'!AC148</f>
        <v>3821.0219999999999</v>
      </c>
      <c r="AD62" s="253">
        <f>'Operating Data'!AD148</f>
        <v>3847.915</v>
      </c>
      <c r="AE62" s="253">
        <f>'Operating Data'!AE148</f>
        <v>3882.7559999999999</v>
      </c>
      <c r="AF62" s="253">
        <f>'Operating Data'!AF148</f>
        <v>3889.0050000000001</v>
      </c>
      <c r="AG62" s="253"/>
      <c r="AH62" s="253"/>
      <c r="AI62" s="253"/>
      <c r="AK62" s="345"/>
      <c r="AL62" s="345"/>
      <c r="AM62" s="345"/>
      <c r="AN62" s="345"/>
      <c r="AO62" s="345"/>
      <c r="AP62" s="345"/>
      <c r="AQ62" s="345"/>
      <c r="AR62" s="345"/>
    </row>
    <row r="63" spans="1:16351" ht="15" customHeight="1" x14ac:dyDescent="0.25">
      <c r="B63" s="158" t="s">
        <v>131</v>
      </c>
      <c r="C63" s="158"/>
      <c r="D63" s="158"/>
      <c r="E63" s="158"/>
      <c r="F63" s="158"/>
      <c r="G63" s="158"/>
      <c r="H63" s="158"/>
      <c r="I63" s="158"/>
      <c r="J63" s="158"/>
      <c r="K63" s="158"/>
      <c r="L63" s="158"/>
      <c r="M63" s="158"/>
      <c r="N63" s="158"/>
      <c r="O63" s="158"/>
      <c r="P63" s="158"/>
      <c r="Q63" s="158"/>
      <c r="R63" s="158"/>
      <c r="S63" s="158"/>
      <c r="T63" s="367" t="s">
        <v>17</v>
      </c>
      <c r="U63" s="367">
        <f>IFERROR(IF(OR(U62/T62-1&gt;2,U62/T62-1&lt;-0.95),"-",U62/T62-1),"-")</f>
        <v>2.117477629931841E-2</v>
      </c>
      <c r="V63" s="368">
        <f>IFERROR(IF(OR(V62/U62-1&gt;2,V62/U62-1&lt;-0.95),"-",V62/U62-1),"-")</f>
        <v>2.1754681671852349E-2</v>
      </c>
      <c r="W63" s="369">
        <f>IFERROR(IF(OR(W62/V62-1&gt;2,W62/V62-1&lt;-0.95),"-",W62/V62-1),"-")</f>
        <v>2.2123256038065087E-2</v>
      </c>
      <c r="X63" s="369" t="str">
        <f>IFERROR(IF(OR(X62/Q62-1&gt;2,X62/Q62-1&lt;-0.95),"-",X62/Q62-1),"-")</f>
        <v>-</v>
      </c>
      <c r="Y63" s="369" t="str">
        <f t="shared" si="40"/>
        <v>-</v>
      </c>
      <c r="Z63" s="367"/>
      <c r="AB63" s="369" t="str">
        <f>IFERROR(IF(OR(AB62/#REF!-1&gt;2,AB62/#REF!-1&lt;-0.95),"-",AB62/#REF!-1),"-")</f>
        <v>-</v>
      </c>
      <c r="AC63" s="369" t="str">
        <f>IFERROR(IF(OR(AC62/#REF!-1&gt;2,AC62/#REF!-1&lt;-0.95),"-",AC62/#REF!-1),"-")</f>
        <v>-</v>
      </c>
      <c r="AD63" s="369" t="str">
        <f>IFERROR(IF(OR(AD62/#REF!-1&gt;2,AD62/#REF!-1&lt;-0.95),"-",AD62/#REF!-1),"-")</f>
        <v>-</v>
      </c>
      <c r="AE63" s="369" t="str">
        <f>IFERROR(IF(OR(AE62/#REF!-1&gt;2,AE62/#REF!-1&lt;-0.95),"-",AE62/#REF!-1),"-")</f>
        <v>-</v>
      </c>
      <c r="AF63" s="369" t="str">
        <f>IFERROR(IF(OR(AF62/#REF!-1&gt;2,AF62/#REF!-1&lt;-0.95),"-",AF62/#REF!-1),"-")</f>
        <v>-</v>
      </c>
      <c r="AG63" s="369"/>
      <c r="AH63" s="369"/>
      <c r="AI63" s="369"/>
      <c r="AK63" s="370"/>
      <c r="AL63" s="370"/>
      <c r="AM63" s="370"/>
      <c r="AN63" s="370"/>
      <c r="AO63" s="370"/>
      <c r="AP63" s="370"/>
      <c r="AQ63" s="370"/>
      <c r="AR63" s="370"/>
    </row>
    <row r="64" spans="1:16351" ht="15" customHeight="1" x14ac:dyDescent="0.25">
      <c r="A64" s="41"/>
      <c r="B64" s="40"/>
      <c r="C64" s="40"/>
      <c r="D64" s="40"/>
      <c r="E64" s="40"/>
      <c r="F64" s="40"/>
      <c r="G64" s="40"/>
      <c r="H64" s="40"/>
      <c r="I64" s="40"/>
      <c r="J64" s="40"/>
      <c r="K64" s="40"/>
      <c r="L64" s="40"/>
      <c r="M64" s="40"/>
      <c r="N64" s="40"/>
      <c r="O64" s="40"/>
      <c r="P64" s="40"/>
      <c r="Q64" s="40"/>
      <c r="R64" s="40"/>
      <c r="S64" s="40"/>
      <c r="T64" s="371"/>
      <c r="U64" s="371"/>
      <c r="V64" s="292"/>
      <c r="W64" s="223"/>
      <c r="X64" s="223"/>
      <c r="Y64" s="223"/>
      <c r="Z64" s="253"/>
      <c r="AB64" s="223"/>
      <c r="AC64" s="223"/>
      <c r="AD64" s="223"/>
      <c r="AE64" s="223"/>
      <c r="AF64" s="223"/>
      <c r="AG64" s="223"/>
      <c r="AH64" s="223"/>
      <c r="AI64" s="223"/>
      <c r="AK64" s="223"/>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row>
    <row r="65" spans="1:16351" ht="15" customHeight="1" x14ac:dyDescent="0.25">
      <c r="A65" s="41"/>
      <c r="B65" s="34" t="s">
        <v>132</v>
      </c>
      <c r="C65" s="34"/>
      <c r="D65" s="34"/>
      <c r="E65" s="34"/>
      <c r="F65" s="34"/>
      <c r="G65" s="34"/>
      <c r="H65" s="34"/>
      <c r="I65" s="34"/>
      <c r="J65" s="34"/>
      <c r="K65" s="34"/>
      <c r="L65" s="34"/>
      <c r="M65" s="34"/>
      <c r="N65" s="34"/>
      <c r="O65" s="34"/>
      <c r="P65" s="34"/>
      <c r="Q65" s="34"/>
      <c r="R65" s="34"/>
      <c r="S65" s="34"/>
      <c r="T65" s="223"/>
      <c r="U65" s="223"/>
      <c r="V65" s="223"/>
      <c r="W65" s="223"/>
      <c r="X65" s="223"/>
      <c r="Y65" s="223"/>
      <c r="Z65" s="223"/>
      <c r="AB65" s="223"/>
      <c r="AC65" s="223"/>
      <c r="AD65" s="223"/>
      <c r="AE65" s="223"/>
      <c r="AF65" s="223"/>
      <c r="AG65" s="223"/>
      <c r="AH65" s="223"/>
      <c r="AI65" s="223"/>
      <c r="AK65" s="223"/>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row>
    <row r="66" spans="1:16351" ht="15" customHeight="1" x14ac:dyDescent="0.25">
      <c r="A66" s="41"/>
      <c r="B66" s="34" t="s">
        <v>249</v>
      </c>
      <c r="C66" s="34"/>
      <c r="D66" s="34"/>
      <c r="E66" s="34"/>
      <c r="F66" s="34"/>
      <c r="G66" s="34"/>
      <c r="H66" s="34"/>
      <c r="I66" s="34"/>
      <c r="J66" s="34"/>
      <c r="K66" s="34"/>
      <c r="L66" s="34"/>
      <c r="M66" s="34"/>
      <c r="N66" s="34"/>
      <c r="O66" s="34"/>
      <c r="P66" s="34"/>
      <c r="Q66" s="34"/>
      <c r="R66" s="34"/>
      <c r="S66" s="34"/>
      <c r="T66" s="372"/>
      <c r="U66" s="372"/>
      <c r="V66" s="292"/>
      <c r="W66" s="223"/>
      <c r="X66" s="223"/>
      <c r="Y66" s="223"/>
      <c r="Z66" s="253"/>
      <c r="AB66" s="223"/>
      <c r="AC66" s="223"/>
      <c r="AD66" s="223"/>
      <c r="AE66" s="223"/>
      <c r="AF66" s="223"/>
      <c r="AG66" s="223"/>
      <c r="AH66" s="223"/>
      <c r="AI66" s="223"/>
      <c r="AK66" s="223"/>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row>
    <row r="67" spans="1:16351" ht="15" customHeight="1" x14ac:dyDescent="0.25">
      <c r="B67" s="44" t="s">
        <v>51</v>
      </c>
      <c r="C67" s="44"/>
      <c r="D67" s="44"/>
      <c r="E67" s="44"/>
      <c r="F67" s="44"/>
      <c r="G67" s="44"/>
      <c r="H67" s="44"/>
      <c r="I67" s="44"/>
      <c r="J67" s="44"/>
      <c r="K67" s="44"/>
      <c r="L67" s="44"/>
      <c r="M67" s="44"/>
      <c r="N67" s="44"/>
      <c r="O67" s="44"/>
      <c r="P67" s="44"/>
      <c r="Q67" s="44"/>
      <c r="R67" s="44"/>
      <c r="S67" s="44"/>
      <c r="T67" s="351">
        <v>9.6231683603606497E-2</v>
      </c>
      <c r="U67" s="351">
        <v>9.5697113725658325E-2</v>
      </c>
      <c r="V67" s="351" vm="58">
        <v>8.9593000000000006E-2</v>
      </c>
      <c r="W67" s="351" vm="8">
        <v>8.6474058039558183E-2</v>
      </c>
      <c r="X67" s="503" vm="328">
        <f>'Operating Data'!X156</f>
        <v>8.7388559718589803E-2</v>
      </c>
      <c r="Y67" s="503" vm="279">
        <f>AE67</f>
        <v>7.8277224521243693E-2</v>
      </c>
      <c r="Z67" s="351"/>
      <c r="AB67" s="503">
        <f>'Operating Data'!AB156</f>
        <v>0.08</v>
      </c>
      <c r="AC67" s="503" vm="446">
        <f>'Operating Data'!AC156</f>
        <v>7.6883360667184292E-2</v>
      </c>
      <c r="AD67" s="503" vm="212">
        <f>'Operating Data'!AD156</f>
        <v>7.7247092658812896E-2</v>
      </c>
      <c r="AE67" s="503" vm="279">
        <f>'Operating Data'!AE156</f>
        <v>7.8277224521243693E-2</v>
      </c>
      <c r="AF67" s="503" vm="480">
        <f>'Operating Data'!AF156</f>
        <v>7.9112455641438706E-2</v>
      </c>
      <c r="AG67" s="351"/>
      <c r="AH67" s="351"/>
      <c r="AI67" s="351"/>
      <c r="AK67" s="351"/>
      <c r="AL67" s="361"/>
      <c r="AM67" s="361"/>
      <c r="AN67" s="361"/>
      <c r="AO67" s="361"/>
      <c r="AP67" s="361"/>
      <c r="AQ67" s="361"/>
      <c r="AR67" s="361"/>
    </row>
    <row r="68" spans="1:16351" ht="15" customHeight="1" x14ac:dyDescent="0.25">
      <c r="B68" s="44" t="s">
        <v>50</v>
      </c>
      <c r="C68" s="44"/>
      <c r="D68" s="44"/>
      <c r="E68" s="44"/>
      <c r="F68" s="44"/>
      <c r="G68" s="44"/>
      <c r="H68" s="44"/>
      <c r="I68" s="44"/>
      <c r="J68" s="44"/>
      <c r="K68" s="44"/>
      <c r="L68" s="44"/>
      <c r="M68" s="44"/>
      <c r="N68" s="44"/>
      <c r="O68" s="44"/>
      <c r="P68" s="44"/>
      <c r="Q68" s="44"/>
      <c r="R68" s="44"/>
      <c r="S68" s="44"/>
      <c r="T68" s="351">
        <v>3.4127446861680552E-2</v>
      </c>
      <c r="U68" s="351">
        <v>3.6363582026402011E-2</v>
      </c>
      <c r="V68" s="351">
        <v>3.8477847958883413E-2</v>
      </c>
      <c r="W68" s="351" vm="440">
        <v>4.6666709915970252E-2</v>
      </c>
      <c r="X68" s="503" vm="329">
        <f>'Operating Data'!X157</f>
        <v>4.8220390431626084E-2</v>
      </c>
      <c r="Y68" s="503" vm="280">
        <f>AE68</f>
        <v>4.7710651123865001E-2</v>
      </c>
      <c r="Z68" s="351"/>
      <c r="AB68" s="503" vm="60">
        <f>'Operating Data'!AB157</f>
        <v>5.8211278935175137E-2</v>
      </c>
      <c r="AC68" s="503" vm="258">
        <f>'Operating Data'!AC157</f>
        <v>5.0125276702550119E-2</v>
      </c>
      <c r="AD68" s="503" vm="213">
        <f>'Operating Data'!AD157</f>
        <v>4.530198885834659E-2</v>
      </c>
      <c r="AE68" s="503" vm="280">
        <f>'Operating Data'!AE157</f>
        <v>4.7710651123865001E-2</v>
      </c>
      <c r="AF68" s="503" vm="481">
        <f>'Operating Data'!AF157</f>
        <v>5.934976254734757E-2</v>
      </c>
      <c r="AG68" s="351"/>
      <c r="AH68" s="351"/>
      <c r="AI68" s="351"/>
      <c r="AK68" s="351"/>
      <c r="AL68" s="361"/>
      <c r="AM68" s="361"/>
      <c r="AN68" s="361"/>
      <c r="AO68" s="361"/>
      <c r="AP68" s="361"/>
      <c r="AQ68" s="361"/>
      <c r="AR68" s="361"/>
    </row>
    <row r="69" spans="1:16351" ht="15" customHeight="1" x14ac:dyDescent="0.25">
      <c r="B69" s="44" t="s">
        <v>39</v>
      </c>
      <c r="C69" s="44"/>
      <c r="D69" s="44"/>
      <c r="E69" s="44"/>
      <c r="F69" s="44"/>
      <c r="G69" s="44"/>
      <c r="H69" s="44"/>
      <c r="I69" s="44"/>
      <c r="J69" s="44"/>
      <c r="K69" s="44"/>
      <c r="L69" s="44"/>
      <c r="M69" s="44"/>
      <c r="N69" s="44"/>
      <c r="O69" s="44"/>
      <c r="P69" s="44"/>
      <c r="Q69" s="44"/>
      <c r="R69" s="44"/>
      <c r="S69" s="44"/>
      <c r="T69" s="327"/>
      <c r="U69" s="327"/>
      <c r="V69" s="292"/>
      <c r="W69" s="292"/>
      <c r="X69" s="292"/>
      <c r="Y69" s="292"/>
      <c r="Z69" s="327"/>
      <c r="AB69" s="292"/>
      <c r="AC69" s="292"/>
      <c r="AD69" s="292"/>
      <c r="AE69" s="292"/>
      <c r="AF69" s="292"/>
      <c r="AG69" s="292"/>
      <c r="AH69" s="292"/>
      <c r="AI69" s="292"/>
      <c r="AK69" s="292"/>
      <c r="AL69" s="361"/>
      <c r="AM69" s="361"/>
      <c r="AN69" s="361"/>
      <c r="AO69" s="361"/>
      <c r="AP69" s="361"/>
      <c r="AQ69" s="361"/>
      <c r="AR69" s="361"/>
    </row>
    <row r="70" spans="1:16351" customFormat="1" x14ac:dyDescent="0.25">
      <c r="B70" s="38" t="s">
        <v>133</v>
      </c>
      <c r="C70" s="105" t="s">
        <v>17</v>
      </c>
      <c r="D70" s="105" t="s">
        <v>17</v>
      </c>
      <c r="E70" s="105" t="s">
        <v>17</v>
      </c>
      <c r="F70" s="105" t="s">
        <v>17</v>
      </c>
      <c r="G70" s="105" t="s">
        <v>17</v>
      </c>
      <c r="H70" s="105" t="s">
        <v>17</v>
      </c>
      <c r="I70" s="105" t="s">
        <v>17</v>
      </c>
      <c r="J70" s="105" t="s">
        <v>17</v>
      </c>
      <c r="K70" s="105" t="s">
        <v>17</v>
      </c>
      <c r="L70" s="105" t="s">
        <v>17</v>
      </c>
      <c r="M70" s="105" t="s">
        <v>17</v>
      </c>
      <c r="N70" s="105" t="s">
        <v>17</v>
      </c>
      <c r="O70" s="105" t="s">
        <v>17</v>
      </c>
      <c r="P70" s="105" t="s">
        <v>17</v>
      </c>
      <c r="Q70" s="27">
        <v>0.09</v>
      </c>
      <c r="R70" s="27">
        <v>8.8999999999999996E-2</v>
      </c>
      <c r="S70" s="27">
        <v>8.6999999999999994E-2</v>
      </c>
      <c r="T70" s="292">
        <v>8.4331929999999999E-2</v>
      </c>
      <c r="U70" s="292">
        <v>8.1080310000000003E-2</v>
      </c>
      <c r="V70" s="292">
        <v>8.5695999999999994E-2</v>
      </c>
      <c r="W70" s="292">
        <v>8.2916281830423294E-2</v>
      </c>
      <c r="X70" s="292">
        <f>'Operating Data'!X159</f>
        <v>7.9066954888097479E-2</v>
      </c>
      <c r="Y70" s="292">
        <f t="shared" ref="Y70:Y75" si="41">AE70</f>
        <v>7.1972836473468998E-2</v>
      </c>
      <c r="Z70" s="292"/>
      <c r="AA70" s="223"/>
      <c r="AB70" s="292">
        <f>'Operating Data'!AB159</f>
        <v>8.6765453391720676E-2</v>
      </c>
      <c r="AC70" s="292">
        <f>'Operating Data'!AC159</f>
        <v>7.764654875376964E-2</v>
      </c>
      <c r="AD70" s="292">
        <f>'Operating Data'!AD159</f>
        <v>7.6193742269068984E-2</v>
      </c>
      <c r="AE70" s="292">
        <f>'Operating Data'!AE159</f>
        <v>7.1972836473468998E-2</v>
      </c>
      <c r="AF70" s="292">
        <f>'Operating Data'!AF159</f>
        <v>7.1942547912007868E-2</v>
      </c>
      <c r="AG70" s="292"/>
      <c r="AH70" s="292"/>
      <c r="AI70" s="292"/>
      <c r="AJ70" s="223"/>
      <c r="AK70" s="223"/>
      <c r="AL70" s="223"/>
      <c r="AM70" s="223"/>
      <c r="AN70" s="223"/>
      <c r="AO70" s="223"/>
      <c r="AP70" s="223"/>
      <c r="AQ70" s="223"/>
      <c r="AR70" s="223"/>
      <c r="AS70" s="223"/>
      <c r="AT70" s="223"/>
      <c r="AU70" s="223"/>
      <c r="AV70" s="223"/>
      <c r="AW70" s="223"/>
      <c r="AX70" s="223"/>
      <c r="AY70" s="223"/>
    </row>
    <row r="71" spans="1:16351" customFormat="1" x14ac:dyDescent="0.25">
      <c r="B71" s="155" t="s">
        <v>134</v>
      </c>
      <c r="C71" s="105" t="s">
        <v>17</v>
      </c>
      <c r="D71" s="105" t="s">
        <v>17</v>
      </c>
      <c r="E71" s="105" t="s">
        <v>17</v>
      </c>
      <c r="F71" s="105" t="s">
        <v>17</v>
      </c>
      <c r="G71" s="105" t="s">
        <v>17</v>
      </c>
      <c r="H71" s="105" t="s">
        <v>17</v>
      </c>
      <c r="I71" s="105" t="s">
        <v>17</v>
      </c>
      <c r="J71" s="105" t="s">
        <v>17</v>
      </c>
      <c r="K71" s="105" t="s">
        <v>17</v>
      </c>
      <c r="L71" s="105" t="s">
        <v>17</v>
      </c>
      <c r="M71" s="105" t="s">
        <v>17</v>
      </c>
      <c r="N71" s="105" t="s">
        <v>17</v>
      </c>
      <c r="O71" s="105" t="s">
        <v>17</v>
      </c>
      <c r="P71" s="105" t="s">
        <v>17</v>
      </c>
      <c r="Q71" s="27">
        <v>5.3999999999999999E-2</v>
      </c>
      <c r="R71" s="27">
        <v>5.5E-2</v>
      </c>
      <c r="S71" s="27">
        <v>5.5E-2</v>
      </c>
      <c r="T71" s="292">
        <v>5.5890500000000003E-2</v>
      </c>
      <c r="U71" s="292">
        <v>5.642875E-2</v>
      </c>
      <c r="V71" s="292">
        <v>5.5381E-2</v>
      </c>
      <c r="W71" s="292" vm="7">
        <v>5.755060025291861E-2</v>
      </c>
      <c r="X71" s="502" vm="53">
        <f>'Operating Data'!X160</f>
        <v>3.5718473739906303E-2</v>
      </c>
      <c r="Y71" s="502" vm="281">
        <f t="shared" si="41"/>
        <v>3.6320997690456686E-2</v>
      </c>
      <c r="Z71" s="292"/>
      <c r="AA71" s="223"/>
      <c r="AB71" s="502" vm="277">
        <f>'Operating Data'!AB160</f>
        <v>3.8068284273372083E-2</v>
      </c>
      <c r="AC71" s="502" vm="447">
        <f>'Operating Data'!AC160</f>
        <v>3.6683701072617834E-2</v>
      </c>
      <c r="AD71" s="502" vm="288">
        <f>'Operating Data'!AD160</f>
        <v>3.6646655608778597E-2</v>
      </c>
      <c r="AE71" s="502" vm="281">
        <f>'Operating Data'!AE160</f>
        <v>3.6320997690456686E-2</v>
      </c>
      <c r="AF71" s="502" vm="482">
        <f>'Operating Data'!AF160</f>
        <v>3.7992706528367295E-2</v>
      </c>
      <c r="AG71" s="292"/>
      <c r="AH71" s="292"/>
      <c r="AI71" s="292"/>
      <c r="AJ71" s="223"/>
      <c r="AK71" s="223"/>
      <c r="AL71" s="223"/>
      <c r="AM71" s="223"/>
      <c r="AN71" s="223"/>
      <c r="AO71" s="223"/>
      <c r="AP71" s="223"/>
      <c r="AQ71" s="223"/>
      <c r="AR71" s="223"/>
      <c r="AS71" s="223"/>
      <c r="AT71" s="223"/>
      <c r="AU71" s="223"/>
      <c r="AV71" s="223"/>
      <c r="AW71" s="223"/>
      <c r="AX71" s="223"/>
      <c r="AY71" s="223"/>
    </row>
    <row r="72" spans="1:16351" customFormat="1" x14ac:dyDescent="0.25">
      <c r="B72" s="155" t="s">
        <v>135</v>
      </c>
      <c r="C72" s="105" t="s">
        <v>17</v>
      </c>
      <c r="D72" s="105" t="s">
        <v>17</v>
      </c>
      <c r="E72" s="105" t="s">
        <v>17</v>
      </c>
      <c r="F72" s="105" t="s">
        <v>17</v>
      </c>
      <c r="G72" s="105" t="s">
        <v>17</v>
      </c>
      <c r="H72" s="105" t="s">
        <v>17</v>
      </c>
      <c r="I72" s="105" t="s">
        <v>17</v>
      </c>
      <c r="J72" s="105" t="s">
        <v>17</v>
      </c>
      <c r="K72" s="105" t="s">
        <v>17</v>
      </c>
      <c r="L72" s="105" t="s">
        <v>17</v>
      </c>
      <c r="M72" s="105" t="s">
        <v>17</v>
      </c>
      <c r="N72" s="105" t="s">
        <v>17</v>
      </c>
      <c r="O72" s="105" t="s">
        <v>17</v>
      </c>
      <c r="P72" s="105" t="s">
        <v>17</v>
      </c>
      <c r="Q72" s="27">
        <v>3.5999999999999997E-2</v>
      </c>
      <c r="R72" s="27">
        <v>3.4000000000000002E-2</v>
      </c>
      <c r="S72" s="27">
        <v>3.2000000000000001E-2</v>
      </c>
      <c r="T72" s="292">
        <v>2.844143E-2</v>
      </c>
      <c r="U72" s="292">
        <v>2.4651559999999999E-2</v>
      </c>
      <c r="V72" s="292">
        <v>3.0315000000000002E-2</v>
      </c>
      <c r="W72" s="292" vm="9">
        <v>2.5365681577504677E-2</v>
      </c>
      <c r="X72" s="502" vm="54">
        <f>'Operating Data'!X161</f>
        <v>4.3348481148191176E-2</v>
      </c>
      <c r="Y72" s="502" vm="282">
        <f t="shared" si="41"/>
        <v>3.5651838783012313E-2</v>
      </c>
      <c r="Z72" s="292"/>
      <c r="AA72" s="223"/>
      <c r="AB72" s="502" vm="61">
        <f>'Operating Data'!AB161</f>
        <v>4.8697169118348586E-2</v>
      </c>
      <c r="AC72" s="502" vm="439">
        <f>'Operating Data'!AC161</f>
        <v>4.0962847681151805E-2</v>
      </c>
      <c r="AD72" s="502" vm="214">
        <f>'Operating Data'!AD161</f>
        <v>3.9547086660290387E-2</v>
      </c>
      <c r="AE72" s="502" vm="282">
        <f>'Operating Data'!AE161</f>
        <v>3.5651838783012313E-2</v>
      </c>
      <c r="AF72" s="502" vm="483">
        <f>'Operating Data'!AF161</f>
        <v>3.3949841383640572E-2</v>
      </c>
      <c r="AG72" s="292"/>
      <c r="AH72" s="292"/>
      <c r="AI72" s="292"/>
      <c r="AJ72" s="223"/>
      <c r="AK72" s="223"/>
      <c r="AL72" s="223"/>
      <c r="AM72" s="223"/>
      <c r="AN72" s="223"/>
      <c r="AO72" s="223"/>
      <c r="AP72" s="223"/>
      <c r="AQ72" s="223"/>
      <c r="AR72" s="223"/>
      <c r="AS72" s="223"/>
      <c r="AT72" s="223"/>
      <c r="AU72" s="223"/>
      <c r="AV72" s="223"/>
      <c r="AW72" s="223"/>
      <c r="AX72" s="223"/>
      <c r="AY72" s="223"/>
    </row>
    <row r="73" spans="1:16351" customFormat="1" x14ac:dyDescent="0.25">
      <c r="B73" s="38" t="s">
        <v>136</v>
      </c>
      <c r="C73" s="105" t="s">
        <v>17</v>
      </c>
      <c r="D73" s="105" t="s">
        <v>17</v>
      </c>
      <c r="E73" s="105" t="s">
        <v>17</v>
      </c>
      <c r="F73" s="105" t="s">
        <v>17</v>
      </c>
      <c r="G73" s="105" t="s">
        <v>17</v>
      </c>
      <c r="H73" s="105" t="s">
        <v>17</v>
      </c>
      <c r="I73" s="105" t="s">
        <v>17</v>
      </c>
      <c r="J73" s="105" t="s">
        <v>17</v>
      </c>
      <c r="K73" s="105" t="s">
        <v>17</v>
      </c>
      <c r="L73" s="105" t="s">
        <v>17</v>
      </c>
      <c r="M73" s="105" t="s">
        <v>17</v>
      </c>
      <c r="N73" s="105" t="s">
        <v>17</v>
      </c>
      <c r="O73" s="105" t="s">
        <v>17</v>
      </c>
      <c r="P73" s="105" t="s">
        <v>17</v>
      </c>
      <c r="Q73" s="27">
        <v>0.13500000000000001</v>
      </c>
      <c r="R73" s="27">
        <v>0.13900000000000001</v>
      </c>
      <c r="S73" s="27">
        <v>0.13</v>
      </c>
      <c r="T73" s="292">
        <v>0.11935841999999999</v>
      </c>
      <c r="U73" s="292">
        <v>0.1245378</v>
      </c>
      <c r="V73" s="292">
        <v>0.13392199999999999</v>
      </c>
      <c r="W73" s="292">
        <v>0.12411351310377056</v>
      </c>
      <c r="X73" s="292">
        <f>'Operating Data'!X162</f>
        <v>0.11946419349546938</v>
      </c>
      <c r="Y73" s="292">
        <f t="shared" si="41"/>
        <v>0.11834329642742686</v>
      </c>
      <c r="Z73" s="292"/>
      <c r="AA73" s="223"/>
      <c r="AB73" s="292">
        <f>'Operating Data'!AB162</f>
        <v>0.13888172079899608</v>
      </c>
      <c r="AC73" s="292">
        <f>'Operating Data'!AC162</f>
        <v>0.11538061942578012</v>
      </c>
      <c r="AD73" s="292">
        <f>'Operating Data'!AD162</f>
        <v>0.11685885144299546</v>
      </c>
      <c r="AE73" s="292">
        <f>'Operating Data'!AE162</f>
        <v>0.11834329642742686</v>
      </c>
      <c r="AF73" s="292">
        <f>'Operating Data'!AF162</f>
        <v>0.12130065466797545</v>
      </c>
      <c r="AG73" s="292"/>
      <c r="AH73" s="292"/>
      <c r="AI73" s="292"/>
      <c r="AJ73" s="223"/>
      <c r="AK73" s="223"/>
      <c r="AL73" s="223"/>
      <c r="AM73" s="223"/>
      <c r="AN73" s="223"/>
      <c r="AO73" s="223"/>
      <c r="AP73" s="223"/>
      <c r="AQ73" s="223"/>
      <c r="AR73" s="223"/>
      <c r="AS73" s="223"/>
      <c r="AT73" s="223"/>
      <c r="AU73" s="223"/>
      <c r="AV73" s="223"/>
      <c r="AW73" s="223"/>
      <c r="AX73" s="223"/>
      <c r="AY73" s="223"/>
    </row>
    <row r="74" spans="1:16351" customFormat="1" x14ac:dyDescent="0.25">
      <c r="B74" s="207" t="s">
        <v>134</v>
      </c>
      <c r="C74" s="105" t="s">
        <v>17</v>
      </c>
      <c r="D74" s="105" t="s">
        <v>17</v>
      </c>
      <c r="E74" s="105" t="s">
        <v>17</v>
      </c>
      <c r="F74" s="105" t="s">
        <v>17</v>
      </c>
      <c r="G74" s="105" t="s">
        <v>17</v>
      </c>
      <c r="H74" s="105" t="s">
        <v>17</v>
      </c>
      <c r="I74" s="105" t="s">
        <v>17</v>
      </c>
      <c r="J74" s="105" t="s">
        <v>17</v>
      </c>
      <c r="K74" s="105" t="s">
        <v>17</v>
      </c>
      <c r="L74" s="105" t="s">
        <v>17</v>
      </c>
      <c r="M74" s="105" t="s">
        <v>17</v>
      </c>
      <c r="N74" s="105" t="s">
        <v>17</v>
      </c>
      <c r="O74" s="105" t="s">
        <v>17</v>
      </c>
      <c r="P74" s="105" t="s">
        <v>17</v>
      </c>
      <c r="Q74" s="27">
        <v>8.2000000000000003E-2</v>
      </c>
      <c r="R74" s="27">
        <v>8.5999999999999993E-2</v>
      </c>
      <c r="S74" s="27">
        <v>8.3000000000000004E-2</v>
      </c>
      <c r="T74" s="292">
        <v>7.5310240000000001E-2</v>
      </c>
      <c r="U74" s="292">
        <v>7.858801E-2</v>
      </c>
      <c r="V74" s="292">
        <v>8.2380999999999996E-2</v>
      </c>
      <c r="W74" s="292" vm="140">
        <v>7.758802362040923E-2</v>
      </c>
      <c r="X74" s="502" vm="52">
        <f>'Operating Data'!X163</f>
        <v>6.9880999180956957E-2</v>
      </c>
      <c r="Y74" s="502" vm="283">
        <f t="shared" si="41"/>
        <v>6.6678722221169828E-2</v>
      </c>
      <c r="Z74" s="292"/>
      <c r="AA74" s="223"/>
      <c r="AB74" s="502" vm="59">
        <f>'Operating Data'!AB163</f>
        <v>7.30025276024793E-2</v>
      </c>
      <c r="AC74" s="502" vm="448">
        <f>'Operating Data'!AC163</f>
        <v>6.915133201612321E-2</v>
      </c>
      <c r="AD74" s="502" vm="276">
        <f>'Operating Data'!AD163</f>
        <v>6.768237600661639E-2</v>
      </c>
      <c r="AE74" s="502" vm="283">
        <f>'Operating Data'!AE163</f>
        <v>6.6678722221169828E-2</v>
      </c>
      <c r="AF74" s="502" vm="484">
        <f>'Operating Data'!AF163</f>
        <v>7.243625749346233E-2</v>
      </c>
      <c r="AG74" s="292"/>
      <c r="AH74" s="292"/>
      <c r="AI74" s="292"/>
      <c r="AJ74" s="223"/>
      <c r="AK74" s="223"/>
      <c r="AL74" s="223"/>
      <c r="AM74" s="223"/>
      <c r="AN74" s="223"/>
      <c r="AO74" s="223"/>
      <c r="AP74" s="223"/>
      <c r="AQ74" s="223"/>
      <c r="AR74" s="223"/>
      <c r="AS74" s="223"/>
      <c r="AT74" s="223"/>
      <c r="AU74" s="223"/>
      <c r="AV74" s="223"/>
      <c r="AW74" s="223"/>
      <c r="AX74" s="223"/>
      <c r="AY74" s="223"/>
    </row>
    <row r="75" spans="1:16351" customFormat="1" x14ac:dyDescent="0.25">
      <c r="B75" s="207" t="s">
        <v>135</v>
      </c>
      <c r="C75" s="105" t="s">
        <v>17</v>
      </c>
      <c r="D75" s="105" t="s">
        <v>17</v>
      </c>
      <c r="E75" s="105" t="s">
        <v>17</v>
      </c>
      <c r="F75" s="105" t="s">
        <v>17</v>
      </c>
      <c r="G75" s="105" t="s">
        <v>17</v>
      </c>
      <c r="H75" s="105" t="s">
        <v>17</v>
      </c>
      <c r="I75" s="105" t="s">
        <v>17</v>
      </c>
      <c r="J75" s="105" t="s">
        <v>17</v>
      </c>
      <c r="K75" s="105" t="s">
        <v>17</v>
      </c>
      <c r="L75" s="105" t="s">
        <v>17</v>
      </c>
      <c r="M75" s="105" t="s">
        <v>17</v>
      </c>
      <c r="N75" s="105" t="s">
        <v>17</v>
      </c>
      <c r="O75" s="105" t="s">
        <v>17</v>
      </c>
      <c r="P75" s="105" t="s">
        <v>17</v>
      </c>
      <c r="Q75" s="27">
        <v>5.2999999999999999E-2</v>
      </c>
      <c r="R75" s="27">
        <v>5.2999999999999999E-2</v>
      </c>
      <c r="S75" s="27">
        <v>4.7E-2</v>
      </c>
      <c r="T75" s="292">
        <v>4.4048179999999999E-2</v>
      </c>
      <c r="U75" s="292">
        <v>4.5949789999999997E-2</v>
      </c>
      <c r="V75" s="292">
        <v>5.1540999999999997E-2</v>
      </c>
      <c r="W75" s="292" vm="9">
        <v>4.6525489483361319E-2</v>
      </c>
      <c r="X75" s="502" vm="330">
        <f>'Operating Data'!X164</f>
        <v>4.9583194314512427E-2</v>
      </c>
      <c r="Y75" s="502" vm="284">
        <f t="shared" si="41"/>
        <v>5.1664574206257037E-2</v>
      </c>
      <c r="Z75" s="292"/>
      <c r="AA75" s="223"/>
      <c r="AB75" s="502" vm="278">
        <f>'Operating Data'!AB164</f>
        <v>6.5879193196516764E-2</v>
      </c>
      <c r="AC75" s="502" vm="259">
        <f>'Operating Data'!AC164</f>
        <v>4.6229287409656913E-2</v>
      </c>
      <c r="AD75" s="502" vm="289">
        <f>'Operating Data'!AD164</f>
        <v>4.9176475436379062E-2</v>
      </c>
      <c r="AE75" s="502" vm="284">
        <f>'Operating Data'!AE164</f>
        <v>5.1664574206257037E-2</v>
      </c>
      <c r="AF75" s="502" vm="485">
        <f>'Operating Data'!AF164</f>
        <v>4.8864397174513116E-2</v>
      </c>
      <c r="AG75" s="292"/>
      <c r="AH75" s="292"/>
      <c r="AI75" s="292"/>
      <c r="AJ75" s="223"/>
      <c r="AK75" s="223"/>
      <c r="AL75" s="223"/>
      <c r="AM75" s="223"/>
      <c r="AN75" s="223"/>
      <c r="AO75" s="223"/>
      <c r="AP75" s="223"/>
      <c r="AQ75" s="223"/>
      <c r="AR75" s="223"/>
      <c r="AS75" s="223"/>
      <c r="AT75" s="223"/>
      <c r="AU75" s="223"/>
      <c r="AV75" s="223"/>
      <c r="AW75" s="223"/>
      <c r="AX75" s="223"/>
      <c r="AY75" s="223"/>
    </row>
    <row r="76" spans="1:16351" ht="15" customHeight="1" x14ac:dyDescent="0.25">
      <c r="B76" s="45"/>
      <c r="C76" s="45"/>
      <c r="D76" s="45"/>
      <c r="E76" s="45"/>
      <c r="F76" s="45"/>
      <c r="G76" s="45"/>
      <c r="H76" s="45"/>
      <c r="I76" s="45"/>
      <c r="J76" s="45"/>
      <c r="K76" s="45"/>
      <c r="L76" s="45"/>
      <c r="M76" s="45"/>
      <c r="N76" s="45"/>
      <c r="O76" s="45"/>
      <c r="P76" s="45"/>
      <c r="Q76" s="45"/>
      <c r="R76" s="45"/>
      <c r="S76" s="45"/>
      <c r="T76" s="292"/>
      <c r="U76" s="292"/>
      <c r="V76" s="292"/>
      <c r="W76" s="292"/>
      <c r="X76" s="292"/>
      <c r="Y76" s="292"/>
      <c r="Z76" s="292"/>
      <c r="AB76" s="292"/>
      <c r="AC76" s="292"/>
      <c r="AD76" s="292"/>
      <c r="AE76" s="292"/>
      <c r="AF76" s="292"/>
      <c r="AG76" s="292"/>
      <c r="AH76" s="292"/>
      <c r="AI76" s="292"/>
      <c r="AK76" s="292"/>
    </row>
    <row r="77" spans="1:16351" ht="15" customHeight="1" x14ac:dyDescent="0.25">
      <c r="B77" s="34" t="s">
        <v>137</v>
      </c>
      <c r="C77" s="34"/>
      <c r="D77" s="34"/>
      <c r="E77" s="34"/>
      <c r="F77" s="34"/>
      <c r="G77" s="34"/>
      <c r="H77" s="34"/>
      <c r="I77" s="34"/>
      <c r="J77" s="34"/>
      <c r="K77" s="34"/>
      <c r="L77" s="34"/>
      <c r="M77" s="34"/>
      <c r="N77" s="34"/>
      <c r="O77" s="34"/>
      <c r="P77" s="34"/>
      <c r="Q77" s="34"/>
      <c r="R77" s="34"/>
      <c r="S77" s="34"/>
      <c r="T77" s="292"/>
      <c r="U77" s="292"/>
      <c r="V77" s="292"/>
      <c r="W77" s="292"/>
      <c r="X77" s="292"/>
      <c r="Y77" s="292"/>
      <c r="Z77" s="292"/>
      <c r="AB77" s="292"/>
      <c r="AC77" s="292"/>
      <c r="AD77" s="292"/>
      <c r="AE77" s="292"/>
      <c r="AF77" s="292"/>
      <c r="AG77" s="292"/>
      <c r="AH77" s="292"/>
      <c r="AI77" s="292"/>
      <c r="AK77" s="292"/>
    </row>
    <row r="78" spans="1:16351" ht="15" customHeight="1" x14ac:dyDescent="0.25">
      <c r="B78" s="163" t="s">
        <v>51</v>
      </c>
      <c r="C78" s="163"/>
      <c r="D78" s="163"/>
      <c r="E78" s="163"/>
      <c r="F78" s="163"/>
      <c r="G78" s="163"/>
      <c r="H78" s="163"/>
      <c r="I78" s="163"/>
      <c r="J78" s="163"/>
      <c r="K78" s="163"/>
      <c r="L78" s="163"/>
      <c r="M78" s="163"/>
      <c r="N78" s="163"/>
      <c r="O78" s="163"/>
      <c r="P78" s="163"/>
      <c r="Q78" s="163"/>
      <c r="R78" s="163"/>
      <c r="S78" s="163"/>
      <c r="T78" s="291" t="s">
        <v>17</v>
      </c>
      <c r="U78" s="292">
        <v>0.44067396063479503</v>
      </c>
      <c r="V78" s="292">
        <v>0.50110527961179119</v>
      </c>
      <c r="W78" s="292">
        <v>0.58372286945025675</v>
      </c>
      <c r="X78" s="292">
        <f>'Operating Data'!X167</f>
        <v>0.5794447180992538</v>
      </c>
      <c r="Y78" s="292">
        <f>AE78</f>
        <v>0.65457420919841192</v>
      </c>
      <c r="Z78" s="292"/>
      <c r="AB78" s="292">
        <f>'Operating Data'!AB167</f>
        <v>0.62021412027300615</v>
      </c>
      <c r="AC78" s="292">
        <f>'Operating Data'!AC167</f>
        <v>0.64766305290094472</v>
      </c>
      <c r="AD78" s="292">
        <f>'Operating Data'!AD167</f>
        <v>0.64998375088429583</v>
      </c>
      <c r="AE78" s="292">
        <f>'Operating Data'!AE167</f>
        <v>0.65457420919841192</v>
      </c>
      <c r="AF78" s="292">
        <f>'Operating Data'!AF167</f>
        <v>0.69666508236752023</v>
      </c>
      <c r="AG78" s="292"/>
      <c r="AH78" s="292"/>
      <c r="AI78" s="292"/>
      <c r="AK78" s="292"/>
      <c r="AL78" s="361"/>
      <c r="AM78" s="361"/>
      <c r="AN78" s="361"/>
      <c r="AO78" s="361"/>
      <c r="AP78" s="361"/>
      <c r="AQ78" s="361"/>
      <c r="AR78" s="361"/>
    </row>
    <row r="79" spans="1:16351" ht="15" customHeight="1" x14ac:dyDescent="0.25">
      <c r="B79" s="9" t="s">
        <v>50</v>
      </c>
      <c r="C79" s="9"/>
      <c r="D79" s="9"/>
      <c r="E79" s="9"/>
      <c r="F79" s="9"/>
      <c r="G79" s="9"/>
      <c r="H79" s="9"/>
      <c r="I79" s="9"/>
      <c r="J79" s="9"/>
      <c r="K79" s="9"/>
      <c r="L79" s="9"/>
      <c r="M79" s="9"/>
      <c r="N79" s="9"/>
      <c r="O79" s="9"/>
      <c r="P79" s="9"/>
      <c r="Q79" s="9"/>
      <c r="R79" s="9"/>
      <c r="S79" s="9"/>
      <c r="T79" s="291" t="s">
        <v>17</v>
      </c>
      <c r="U79" s="292">
        <v>0.99529833728858252</v>
      </c>
      <c r="V79" s="292">
        <v>0.98852960825018876</v>
      </c>
      <c r="W79" s="292">
        <v>0.99153639018161288</v>
      </c>
      <c r="X79" s="292">
        <f>'Operating Data'!X168</f>
        <v>0.73413515646934313</v>
      </c>
      <c r="Y79" s="292">
        <f>AE79</f>
        <v>0.71073862887429418</v>
      </c>
      <c r="Z79" s="292"/>
      <c r="AB79" s="292">
        <f>'Operating Data'!AB168</f>
        <v>0.74362447437844759</v>
      </c>
      <c r="AC79" s="292">
        <f>'Operating Data'!AC168</f>
        <v>0.73202168110362531</v>
      </c>
      <c r="AD79" s="292">
        <f>'Operating Data'!AD168</f>
        <v>0.71753470635249528</v>
      </c>
      <c r="AE79" s="292">
        <f>'Operating Data'!AE168</f>
        <v>0.71073862887429418</v>
      </c>
      <c r="AF79" s="292">
        <f>'Operating Data'!AF168</f>
        <v>0.65778273559238198</v>
      </c>
      <c r="AG79" s="292"/>
      <c r="AH79" s="292"/>
      <c r="AI79" s="292"/>
      <c r="AK79" s="292"/>
      <c r="AL79" s="361"/>
      <c r="AM79" s="361"/>
      <c r="AN79" s="361"/>
      <c r="AO79" s="361"/>
      <c r="AP79" s="361"/>
      <c r="AQ79" s="361"/>
      <c r="AR79" s="361"/>
    </row>
    <row r="80" spans="1:16351" ht="15" customHeight="1" x14ac:dyDescent="0.25">
      <c r="B80"/>
      <c r="C80"/>
      <c r="D80"/>
      <c r="E80"/>
      <c r="F80"/>
      <c r="G80"/>
      <c r="H80"/>
      <c r="I80"/>
      <c r="J80"/>
      <c r="K80"/>
      <c r="L80"/>
      <c r="M80"/>
      <c r="N80"/>
      <c r="O80"/>
      <c r="P80"/>
      <c r="Q80"/>
      <c r="R80"/>
      <c r="S80"/>
      <c r="T80" s="292"/>
      <c r="U80" s="292"/>
      <c r="V80" s="292"/>
      <c r="W80" s="292"/>
      <c r="X80" s="292"/>
      <c r="Y80" s="292"/>
      <c r="Z80" s="292"/>
      <c r="AB80" s="292"/>
      <c r="AC80" s="292"/>
      <c r="AD80" s="292"/>
      <c r="AE80" s="292"/>
      <c r="AF80" s="292"/>
      <c r="AG80" s="292"/>
      <c r="AH80" s="292"/>
      <c r="AI80" s="292"/>
      <c r="AK80" s="292"/>
    </row>
    <row r="81" spans="1:16351" ht="15" customHeight="1" x14ac:dyDescent="0.25">
      <c r="B81" s="48" t="s">
        <v>138</v>
      </c>
      <c r="C81" s="48"/>
      <c r="D81" s="48"/>
      <c r="E81" s="48"/>
      <c r="F81" s="48"/>
      <c r="G81" s="48"/>
      <c r="H81" s="48"/>
      <c r="I81" s="48"/>
      <c r="J81" s="48"/>
      <c r="K81" s="48"/>
      <c r="L81" s="48"/>
      <c r="M81" s="48"/>
      <c r="N81" s="48"/>
      <c r="O81" s="48"/>
      <c r="P81" s="48"/>
      <c r="Q81" s="48"/>
      <c r="R81" s="48"/>
      <c r="S81" s="48"/>
      <c r="T81" s="292"/>
      <c r="U81" s="292"/>
      <c r="V81" s="351"/>
      <c r="W81" s="292"/>
      <c r="X81" s="292"/>
      <c r="Y81" s="292"/>
      <c r="Z81" s="292"/>
      <c r="AB81" s="292"/>
      <c r="AC81" s="292"/>
      <c r="AD81" s="292"/>
      <c r="AE81" s="292"/>
      <c r="AF81" s="292"/>
      <c r="AG81" s="292"/>
      <c r="AH81" s="292"/>
      <c r="AI81" s="292"/>
      <c r="AK81" s="292"/>
    </row>
    <row r="82" spans="1:16351" ht="15" customHeight="1" x14ac:dyDescent="0.25">
      <c r="B82" s="161" t="s">
        <v>51</v>
      </c>
      <c r="C82" s="161"/>
      <c r="D82" s="161"/>
      <c r="E82" s="161"/>
      <c r="F82" s="161"/>
      <c r="G82" s="161"/>
      <c r="H82" s="161"/>
      <c r="I82" s="161"/>
      <c r="J82" s="161"/>
      <c r="K82" s="161"/>
      <c r="L82" s="161"/>
      <c r="M82" s="161"/>
      <c r="N82" s="161"/>
      <c r="O82" s="161"/>
      <c r="P82" s="161"/>
      <c r="Q82" s="161"/>
      <c r="R82" s="161"/>
      <c r="S82" s="161"/>
      <c r="T82" s="374">
        <v>0.69</v>
      </c>
      <c r="U82" s="374">
        <v>0.72888082245845032</v>
      </c>
      <c r="V82" s="374">
        <v>0.74532180354008692</v>
      </c>
      <c r="W82" s="374">
        <v>0.76559596362231641</v>
      </c>
      <c r="X82" s="374">
        <f>'Operating Data'!X171</f>
        <v>0.82881341452432422</v>
      </c>
      <c r="Y82" s="374">
        <f>AE82</f>
        <v>0.88133662993928941</v>
      </c>
      <c r="Z82" s="374"/>
      <c r="AA82" s="374"/>
      <c r="AB82" s="374">
        <f>'Operating Data'!AB171</f>
        <v>0.84418641228133884</v>
      </c>
      <c r="AC82" s="374">
        <f>'Operating Data'!AC171</f>
        <v>0.86210449981500115</v>
      </c>
      <c r="AD82" s="374">
        <f>'Operating Data'!AD171</f>
        <v>0.86210449981500115</v>
      </c>
      <c r="AE82" s="374">
        <f>'Operating Data'!AE171</f>
        <v>0.88133662993928941</v>
      </c>
      <c r="AF82" s="374">
        <f>'Operating Data'!AF171</f>
        <v>0.92237302121335119</v>
      </c>
      <c r="AG82" s="374"/>
      <c r="AH82" s="374"/>
      <c r="AI82" s="374"/>
      <c r="AK82" s="374"/>
      <c r="AL82" s="361"/>
      <c r="AM82" s="361"/>
      <c r="AN82" s="361"/>
      <c r="AO82" s="361"/>
      <c r="AP82" s="361"/>
      <c r="AQ82" s="361"/>
      <c r="AR82" s="361"/>
    </row>
    <row r="83" spans="1:16351" ht="15" customHeight="1" x14ac:dyDescent="0.25">
      <c r="B83" s="162" t="s">
        <v>50</v>
      </c>
      <c r="C83" s="162"/>
      <c r="D83" s="162"/>
      <c r="E83" s="162"/>
      <c r="F83" s="162"/>
      <c r="G83" s="162"/>
      <c r="H83" s="162"/>
      <c r="I83" s="162"/>
      <c r="J83" s="162"/>
      <c r="K83" s="162"/>
      <c r="L83" s="162"/>
      <c r="M83" s="162"/>
      <c r="N83" s="162"/>
      <c r="O83" s="162"/>
      <c r="P83" s="162"/>
      <c r="Q83" s="162"/>
      <c r="R83" s="162"/>
      <c r="S83" s="162"/>
      <c r="T83" s="374" t="s">
        <v>350</v>
      </c>
      <c r="U83" s="374">
        <v>1</v>
      </c>
      <c r="V83" s="374">
        <v>1</v>
      </c>
      <c r="W83" s="374">
        <v>0.99351652194183804</v>
      </c>
      <c r="X83" s="374">
        <f>'Operating Data'!X172</f>
        <v>0.99720568476016735</v>
      </c>
      <c r="Y83" s="374">
        <f>AE83</f>
        <v>0.99388022345734572</v>
      </c>
      <c r="Z83" s="374"/>
      <c r="AA83" s="374"/>
      <c r="AB83" s="374">
        <f>'Operating Data'!AB172</f>
        <v>0.99301686646827569</v>
      </c>
      <c r="AC83" s="374">
        <f>'Operating Data'!AC172</f>
        <v>0.99305254063786386</v>
      </c>
      <c r="AD83" s="374">
        <f>'Operating Data'!AD172</f>
        <v>0.99353892469164584</v>
      </c>
      <c r="AE83" s="374">
        <f>'Operating Data'!AE172</f>
        <v>0.99388022345734572</v>
      </c>
      <c r="AF83" s="374">
        <f>'Operating Data'!AF172</f>
        <v>0.99440449963656707</v>
      </c>
      <c r="AG83" s="374"/>
      <c r="AH83" s="374"/>
      <c r="AI83" s="374"/>
      <c r="AK83" s="374"/>
      <c r="AL83" s="361"/>
      <c r="AM83" s="361"/>
      <c r="AN83" s="361"/>
      <c r="AO83" s="361"/>
      <c r="AP83" s="361"/>
      <c r="AQ83" s="361"/>
      <c r="AR83" s="361"/>
    </row>
    <row r="84" spans="1:16351" ht="15" customHeight="1" x14ac:dyDescent="0.25">
      <c r="B84" s="46"/>
      <c r="C84" s="46"/>
      <c r="D84" s="46"/>
      <c r="E84" s="46"/>
      <c r="F84" s="46"/>
      <c r="G84" s="46"/>
      <c r="H84" s="46"/>
      <c r="I84" s="46"/>
      <c r="J84" s="46"/>
      <c r="K84" s="46"/>
      <c r="L84" s="46"/>
      <c r="M84" s="46"/>
      <c r="N84" s="46"/>
      <c r="O84" s="46"/>
      <c r="P84" s="46"/>
      <c r="Q84" s="46"/>
      <c r="R84" s="46"/>
      <c r="S84" s="46"/>
      <c r="T84" s="375"/>
      <c r="U84" s="376"/>
      <c r="V84" s="292"/>
      <c r="W84" s="223"/>
      <c r="X84" s="223"/>
      <c r="Y84" s="223"/>
      <c r="Z84" s="253"/>
      <c r="AB84" s="223"/>
      <c r="AC84" s="223"/>
      <c r="AD84" s="223"/>
      <c r="AE84" s="223"/>
      <c r="AF84" s="223"/>
      <c r="AG84" s="223"/>
      <c r="AH84" s="223"/>
      <c r="AI84" s="223"/>
      <c r="AK84" s="223"/>
    </row>
    <row r="85" spans="1:16351" ht="15" customHeight="1" x14ac:dyDescent="0.25">
      <c r="B85" s="48" t="s">
        <v>139</v>
      </c>
      <c r="C85" s="48"/>
      <c r="D85" s="48"/>
      <c r="E85" s="48"/>
      <c r="F85" s="48"/>
      <c r="G85" s="48"/>
      <c r="H85" s="48"/>
      <c r="I85" s="48"/>
      <c r="J85" s="48"/>
      <c r="K85" s="48"/>
      <c r="L85" s="48"/>
      <c r="M85" s="48"/>
      <c r="N85" s="48"/>
      <c r="O85" s="48"/>
      <c r="P85" s="48"/>
      <c r="Q85" s="48"/>
      <c r="R85" s="48"/>
      <c r="S85" s="48"/>
      <c r="T85" s="260">
        <v>80426.109289778804</v>
      </c>
      <c r="U85" s="260">
        <v>79519.276591323229</v>
      </c>
      <c r="V85" s="260">
        <v>76123</v>
      </c>
      <c r="W85" s="260">
        <v>84884.639525828999</v>
      </c>
      <c r="X85" s="260">
        <f>'Operating Data'!X189</f>
        <v>85271.677093653008</v>
      </c>
      <c r="Y85" s="260">
        <f t="shared" ref="Y85:Y92" si="42">+AE85</f>
        <v>86437.852073695016</v>
      </c>
      <c r="Z85" s="260"/>
      <c r="AA85" s="260"/>
      <c r="AB85" s="260">
        <f>'Operating Data'!AB189</f>
        <v>22300.653475882998</v>
      </c>
      <c r="AC85" s="260">
        <f>'Operating Data'!AC189</f>
        <v>42862.552683927002</v>
      </c>
      <c r="AD85" s="260">
        <f>'Operating Data'!AD189</f>
        <v>63927.600815336002</v>
      </c>
      <c r="AE85" s="260">
        <f>'Operating Data'!AE189</f>
        <v>86437.852073695016</v>
      </c>
      <c r="AF85" s="260">
        <f>'Operating Data'!AF189</f>
        <v>22929.541496014001</v>
      </c>
      <c r="AG85" s="260"/>
      <c r="AH85" s="260"/>
      <c r="AI85" s="260"/>
      <c r="AJ85" s="354"/>
      <c r="AK85" s="260">
        <f t="shared" ref="AK85:AK92" si="43">AB85</f>
        <v>22300.653475882998</v>
      </c>
      <c r="AL85" s="260">
        <f>AC85-AB85</f>
        <v>20561.899208044004</v>
      </c>
      <c r="AM85" s="260">
        <f>AD85-AC85</f>
        <v>21065.048131408999</v>
      </c>
      <c r="AN85" s="260">
        <f>AE85-AD85</f>
        <v>22510.251258359014</v>
      </c>
      <c r="AO85" s="260">
        <f t="shared" ref="AO85:AO92" si="44">AF85</f>
        <v>22929.541496014001</v>
      </c>
      <c r="AP85" s="260"/>
      <c r="AQ85" s="260"/>
      <c r="AR85" s="260"/>
      <c r="AS85" s="354"/>
      <c r="AT85" s="354"/>
      <c r="AU85" s="354"/>
      <c r="AV85" s="354"/>
      <c r="AW85" s="354"/>
      <c r="AX85" s="354"/>
      <c r="AY85" s="354"/>
      <c r="AZ85" s="78"/>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row>
    <row r="86" spans="1:16351" ht="15" customHeight="1" x14ac:dyDescent="0.25">
      <c r="B86" s="158" t="s">
        <v>131</v>
      </c>
      <c r="C86" s="158"/>
      <c r="D86" s="158"/>
      <c r="E86" s="158"/>
      <c r="F86" s="158"/>
      <c r="G86" s="158"/>
      <c r="H86" s="158"/>
      <c r="I86" s="158"/>
      <c r="J86" s="158"/>
      <c r="K86" s="158"/>
      <c r="L86" s="158"/>
      <c r="M86" s="158"/>
      <c r="N86" s="158"/>
      <c r="O86" s="158"/>
      <c r="P86" s="158"/>
      <c r="Q86" s="158"/>
      <c r="R86" s="158"/>
      <c r="S86" s="158"/>
      <c r="T86" s="367" t="s">
        <v>17</v>
      </c>
      <c r="U86" s="367">
        <f>IFERROR(IF(OR(U85/T85-1&gt;2,U85/T85-1&lt;-0.95),"-",U85/T85-1),"-")</f>
        <v>-1.1275352077373513E-2</v>
      </c>
      <c r="V86" s="368">
        <f>IFERROR(IF(OR(V85/U85-1&gt;2,V85/U85-1&lt;-0.95),"-",V85/U85-1),"-")</f>
        <v>-4.2710104227656087E-2</v>
      </c>
      <c r="W86" s="369">
        <f>IFERROR(IF(OR(W85/V85-1&gt;2,W85/V85-1&lt;-0.95),"-",W85/V85-1),"-")</f>
        <v>0.11509845284380549</v>
      </c>
      <c r="X86" s="369" t="str">
        <f>IFERROR(IF(OR(X85/Q85-1&gt;2,X85/Q85-1&lt;-0.95),"-",X85/Q85-1),"-")</f>
        <v>-</v>
      </c>
      <c r="Y86" s="369" t="str">
        <f t="shared" si="42"/>
        <v>-</v>
      </c>
      <c r="Z86" s="367"/>
      <c r="AB86" s="369" t="str">
        <f>IFERROR(IF(OR(AB85/#REF!-1&gt;2,AB85/#REF!-1&lt;-0.95),"-",AB85/#REF!-1),"-")</f>
        <v>-</v>
      </c>
      <c r="AC86" s="369" t="str">
        <f>IFERROR(IF(OR(AC85/#REF!-1&gt;2,AC85/#REF!-1&lt;-0.95),"-",AC85/#REF!-1),"-")</f>
        <v>-</v>
      </c>
      <c r="AD86" s="369" t="str">
        <f>IFERROR(IF(OR(AD85/#REF!-1&gt;2,AD85/#REF!-1&lt;-0.95),"-",AD85/#REF!-1),"-")</f>
        <v>-</v>
      </c>
      <c r="AE86" s="369" t="str">
        <f>IFERROR(IF(OR(AE85/#REF!-1&gt;2,AE85/#REF!-1&lt;-0.95),"-",AE85/#REF!-1),"-")</f>
        <v>-</v>
      </c>
      <c r="AF86" s="369">
        <f>IFERROR(IF(OR(AF85/AB85-1&gt;2,AF85/AB85-1&lt;-0.95),"-",AF85/AB85-1),"-")</f>
        <v>2.8200430126906983E-2</v>
      </c>
      <c r="AG86" s="369"/>
      <c r="AH86" s="369"/>
      <c r="AI86" s="369"/>
      <c r="AK86" s="369" t="str">
        <f t="shared" si="43"/>
        <v>-</v>
      </c>
      <c r="AL86" s="369" t="str">
        <f t="shared" ref="AL86" si="45">AC86</f>
        <v>-</v>
      </c>
      <c r="AM86" s="369" t="str">
        <f t="shared" ref="AM86" si="46">AD86</f>
        <v>-</v>
      </c>
      <c r="AN86" s="369" t="str">
        <f t="shared" ref="AN86" si="47">AE86</f>
        <v>-</v>
      </c>
      <c r="AO86" s="369">
        <f t="shared" si="44"/>
        <v>2.8200430126906983E-2</v>
      </c>
      <c r="AP86" s="369"/>
      <c r="AQ86" s="369"/>
      <c r="AR86" s="369"/>
    </row>
    <row r="87" spans="1:16351" ht="15" customHeight="1" x14ac:dyDescent="0.25">
      <c r="A87" s="50"/>
      <c r="B87" s="161" t="s">
        <v>51</v>
      </c>
      <c r="C87" s="161"/>
      <c r="D87" s="161"/>
      <c r="E87" s="161"/>
      <c r="F87" s="161"/>
      <c r="G87" s="161"/>
      <c r="H87" s="161"/>
      <c r="I87" s="161"/>
      <c r="J87" s="161"/>
      <c r="K87" s="161"/>
      <c r="L87" s="161"/>
      <c r="M87" s="161"/>
      <c r="N87" s="161"/>
      <c r="O87" s="161"/>
      <c r="P87" s="161"/>
      <c r="Q87" s="161"/>
      <c r="R87" s="161"/>
      <c r="S87" s="161"/>
      <c r="T87" s="377">
        <v>46058.884367194987</v>
      </c>
      <c r="U87" s="377">
        <v>45666.473784279187</v>
      </c>
      <c r="V87" s="377">
        <v>44142.807206436002</v>
      </c>
      <c r="W87" s="377">
        <v>44752.004502915996</v>
      </c>
      <c r="X87" s="377">
        <f>'Operating Data'!X175</f>
        <v>45494.451231786996</v>
      </c>
      <c r="Y87" s="377">
        <f t="shared" si="42"/>
        <v>45977.877195959009</v>
      </c>
      <c r="Z87" s="377"/>
      <c r="AA87" s="377"/>
      <c r="AB87" s="377">
        <f>'Operating Data'!AB175</f>
        <v>12179.237888537</v>
      </c>
      <c r="AC87" s="377">
        <f>'Operating Data'!AC175</f>
        <v>22922.136772900001</v>
      </c>
      <c r="AD87" s="377">
        <f>'Operating Data'!AD175</f>
        <v>34140.557012088</v>
      </c>
      <c r="AE87" s="377">
        <f>'Operating Data'!AE175</f>
        <v>45977.877195959009</v>
      </c>
      <c r="AF87" s="377">
        <f>'Operating Data'!AF175</f>
        <v>12284.682515649001</v>
      </c>
      <c r="AG87" s="377"/>
      <c r="AH87" s="377"/>
      <c r="AI87" s="377"/>
      <c r="AJ87" s="354"/>
      <c r="AK87" s="253">
        <f t="shared" si="43"/>
        <v>12179.237888537</v>
      </c>
      <c r="AL87" s="253">
        <f>AC87-AB87</f>
        <v>10742.898884363001</v>
      </c>
      <c r="AM87" s="253">
        <f>AD87-AC87</f>
        <v>11218.420239187999</v>
      </c>
      <c r="AN87" s="253">
        <f>AE87-AD87</f>
        <v>11837.320183871008</v>
      </c>
      <c r="AO87" s="253">
        <f t="shared" si="44"/>
        <v>12284.682515649001</v>
      </c>
      <c r="AP87" s="253"/>
      <c r="AQ87" s="253"/>
      <c r="AR87" s="253"/>
      <c r="AS87" s="354"/>
      <c r="AT87" s="354"/>
      <c r="AU87" s="354"/>
      <c r="AV87" s="354"/>
      <c r="AW87" s="354"/>
      <c r="AX87" s="354"/>
      <c r="AY87" s="354"/>
      <c r="AZ87" s="78"/>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row>
    <row r="88" spans="1:16351" ht="15" customHeight="1" x14ac:dyDescent="0.25">
      <c r="B88" s="158" t="s">
        <v>131</v>
      </c>
      <c r="C88" s="158"/>
      <c r="D88" s="158"/>
      <c r="E88" s="158"/>
      <c r="F88" s="158"/>
      <c r="G88" s="158"/>
      <c r="H88" s="158"/>
      <c r="I88" s="158"/>
      <c r="J88" s="158"/>
      <c r="K88" s="158"/>
      <c r="L88" s="158"/>
      <c r="M88" s="158"/>
      <c r="N88" s="158"/>
      <c r="O88" s="158"/>
      <c r="P88" s="158"/>
      <c r="Q88" s="158"/>
      <c r="R88" s="158"/>
      <c r="S88" s="158"/>
      <c r="T88" s="367" t="s">
        <v>17</v>
      </c>
      <c r="U88" s="367">
        <f>IFERROR(IF(OR(U87/T87-1&gt;2,U87/T87-1&lt;-0.95),"-",U87/T87-1),"-")</f>
        <v>-8.51975874594324E-3</v>
      </c>
      <c r="V88" s="368">
        <f>IFERROR(IF(OR(V87/U87-1&gt;2,V87/U87-1&lt;-0.95),"-",V87/U87-1),"-")</f>
        <v>-3.3365102482857179E-2</v>
      </c>
      <c r="W88" s="369">
        <f>IFERROR(IF(OR(W87/V87-1&gt;2,W87/V87-1&lt;-0.95),"-",W87/V87-1),"-")</f>
        <v>1.38006016162735E-2</v>
      </c>
      <c r="X88" s="369" t="str">
        <f>IFERROR(IF(OR(X87/Q87-1&gt;2,X87/Q87-1&lt;-0.95),"-",X87/Q87-1),"-")</f>
        <v>-</v>
      </c>
      <c r="Y88" s="369" t="str">
        <f t="shared" si="42"/>
        <v>-</v>
      </c>
      <c r="Z88" s="367"/>
      <c r="AB88" s="369" t="str">
        <f>IFERROR(IF(OR(AB87/#REF!-1&gt;2,AB87/#REF!-1&lt;-0.95),"-",AB87/#REF!-1),"-")</f>
        <v>-</v>
      </c>
      <c r="AC88" s="369" t="str">
        <f>IFERROR(IF(OR(AC87/#REF!-1&gt;2,AC87/#REF!-1&lt;-0.95),"-",AC87/#REF!-1),"-")</f>
        <v>-</v>
      </c>
      <c r="AD88" s="369" t="str">
        <f>IFERROR(IF(OR(AD87/#REF!-1&gt;2,AD87/#REF!-1&lt;-0.95),"-",AD87/#REF!-1),"-")</f>
        <v>-</v>
      </c>
      <c r="AE88" s="369" t="str">
        <f>IFERROR(IF(OR(AE87/#REF!-1&gt;2,AE87/#REF!-1&lt;-0.95),"-",AE87/#REF!-1),"-")</f>
        <v>-</v>
      </c>
      <c r="AF88" s="369">
        <f>IFERROR(IF(OR(AF87/AB87-1&gt;2,AF87/AB87-1&lt;-0.95),"-",AF87/AB87-1),"-")</f>
        <v>8.6577360650164081E-3</v>
      </c>
      <c r="AG88" s="369"/>
      <c r="AH88" s="369"/>
      <c r="AI88" s="369"/>
      <c r="AK88" s="369" t="str">
        <f t="shared" si="43"/>
        <v>-</v>
      </c>
      <c r="AL88" s="369" t="str">
        <f t="shared" ref="AL88" si="48">AC88</f>
        <v>-</v>
      </c>
      <c r="AM88" s="369" t="str">
        <f t="shared" ref="AM88" si="49">AD88</f>
        <v>-</v>
      </c>
      <c r="AN88" s="369" t="str">
        <f t="shared" ref="AN88" si="50">AE88</f>
        <v>-</v>
      </c>
      <c r="AO88" s="369">
        <f t="shared" si="44"/>
        <v>8.6577360650164081E-3</v>
      </c>
      <c r="AP88" s="369"/>
      <c r="AQ88" s="369"/>
      <c r="AR88" s="369"/>
    </row>
    <row r="89" spans="1:16351" ht="15" customHeight="1" x14ac:dyDescent="0.25">
      <c r="B89" s="44" t="s">
        <v>50</v>
      </c>
      <c r="C89" s="44"/>
      <c r="D89" s="44"/>
      <c r="E89" s="44"/>
      <c r="F89" s="44"/>
      <c r="G89" s="44"/>
      <c r="H89" s="44"/>
      <c r="I89" s="44"/>
      <c r="J89" s="44"/>
      <c r="K89" s="44"/>
      <c r="L89" s="44"/>
      <c r="M89" s="44"/>
      <c r="N89" s="44"/>
      <c r="O89" s="44"/>
      <c r="P89" s="44"/>
      <c r="Q89" s="44"/>
      <c r="R89" s="44"/>
      <c r="S89" s="44"/>
      <c r="T89" s="377">
        <v>9360.379332549619</v>
      </c>
      <c r="U89" s="377">
        <v>8261.5793805285102</v>
      </c>
      <c r="V89" s="377">
        <v>7558.9973057150009</v>
      </c>
      <c r="W89" s="377">
        <v>14116.703346885999</v>
      </c>
      <c r="X89" s="377">
        <f>'Operating Data'!X180</f>
        <v>13285.903787007999</v>
      </c>
      <c r="Y89" s="377">
        <f t="shared" si="42"/>
        <v>12682.462229151999</v>
      </c>
      <c r="Z89" s="377"/>
      <c r="AA89" s="377"/>
      <c r="AB89" s="377">
        <f>'Operating Data'!AB180</f>
        <v>3255.2902309649999</v>
      </c>
      <c r="AC89" s="377">
        <f>'Operating Data'!AC180</f>
        <v>6354.1225266410001</v>
      </c>
      <c r="AD89" s="377">
        <f>'Operating Data'!AD180</f>
        <v>9472.926239294</v>
      </c>
      <c r="AE89" s="377">
        <f>'Operating Data'!AE180</f>
        <v>12682.462229151999</v>
      </c>
      <c r="AF89" s="377">
        <f>'Operating Data'!AF180</f>
        <v>3336.5729170160002</v>
      </c>
      <c r="AG89" s="377"/>
      <c r="AH89" s="377"/>
      <c r="AI89" s="377"/>
      <c r="AK89" s="253">
        <f t="shared" si="43"/>
        <v>3255.2902309649999</v>
      </c>
      <c r="AL89" s="253">
        <f>AC89-AB89</f>
        <v>3098.8322956760003</v>
      </c>
      <c r="AM89" s="253">
        <f>AD89-AC89</f>
        <v>3118.8037126529998</v>
      </c>
      <c r="AN89" s="253">
        <f>AE89-AD89</f>
        <v>3209.5359898579991</v>
      </c>
      <c r="AO89" s="253">
        <f t="shared" si="44"/>
        <v>3336.5729170160002</v>
      </c>
      <c r="AP89" s="253"/>
      <c r="AQ89" s="253"/>
      <c r="AR89" s="253"/>
    </row>
    <row r="90" spans="1:16351" ht="15" customHeight="1" x14ac:dyDescent="0.25">
      <c r="B90" s="158" t="s">
        <v>131</v>
      </c>
      <c r="C90" s="158"/>
      <c r="D90" s="158"/>
      <c r="E90" s="158"/>
      <c r="F90" s="158"/>
      <c r="G90" s="158"/>
      <c r="H90" s="158"/>
      <c r="I90" s="158"/>
      <c r="J90" s="158"/>
      <c r="K90" s="158"/>
      <c r="L90" s="158"/>
      <c r="M90" s="158"/>
      <c r="N90" s="158"/>
      <c r="O90" s="158"/>
      <c r="P90" s="158"/>
      <c r="Q90" s="158"/>
      <c r="R90" s="158"/>
      <c r="S90" s="158"/>
      <c r="T90" s="367" t="s">
        <v>17</v>
      </c>
      <c r="U90" s="367">
        <f>IFERROR(IF(OR(U89/T89-1&gt;2,U89/T89-1&lt;-0.95),"-",U89/T89-1),"-")</f>
        <v>-0.11738839986966776</v>
      </c>
      <c r="V90" s="368">
        <f>IFERROR(IF(OR(V89/U89-1&gt;2,V89/U89-1&lt;-0.95),"-",V89/U89-1),"-")</f>
        <v>-8.5042101812809023E-2</v>
      </c>
      <c r="W90" s="369">
        <f>IFERROR(IF(OR(W89/V89-1&gt;2,W89/V89-1&lt;-0.95),"-",W89/V89-1),"-")</f>
        <v>0.86753649670082922</v>
      </c>
      <c r="X90" s="369" t="str">
        <f>IFERROR(IF(OR(X89/Q89-1&gt;2,X89/Q89-1&lt;-0.95),"-",X89/Q89-1),"-")</f>
        <v>-</v>
      </c>
      <c r="Y90" s="369" t="str">
        <f t="shared" si="42"/>
        <v>-</v>
      </c>
      <c r="Z90" s="367"/>
      <c r="AB90" s="369" t="str">
        <f>IFERROR(IF(OR(AB89/#REF!-1&gt;2,AB89/#REF!-1&lt;-0.95),"-",AB89/#REF!-1),"-")</f>
        <v>-</v>
      </c>
      <c r="AC90" s="369" t="str">
        <f>IFERROR(IF(OR(AC89/#REF!-1&gt;2,AC89/#REF!-1&lt;-0.95),"-",AC89/#REF!-1),"-")</f>
        <v>-</v>
      </c>
      <c r="AD90" s="369" t="str">
        <f>IFERROR(IF(OR(AD89/#REF!-1&gt;2,AD89/#REF!-1&lt;-0.95),"-",AD89/#REF!-1),"-")</f>
        <v>-</v>
      </c>
      <c r="AE90" s="369" t="str">
        <f>IFERROR(IF(OR(AE89/#REF!-1&gt;2,AE89/#REF!-1&lt;-0.95),"-",AE89/#REF!-1),"-")</f>
        <v>-</v>
      </c>
      <c r="AF90" s="369">
        <f>IFERROR(IF(OR(AF89/AB89-1&gt;2,AF89/AB89-1&lt;-0.95),"-",AF89/AB89-1),"-")</f>
        <v>2.4969412950594183E-2</v>
      </c>
      <c r="AG90" s="369"/>
      <c r="AH90" s="369"/>
      <c r="AI90" s="369"/>
      <c r="AK90" s="369" t="str">
        <f t="shared" si="43"/>
        <v>-</v>
      </c>
      <c r="AL90" s="369" t="str">
        <f t="shared" ref="AL90" si="51">AC90</f>
        <v>-</v>
      </c>
      <c r="AM90" s="369" t="str">
        <f t="shared" ref="AM90" si="52">AD90</f>
        <v>-</v>
      </c>
      <c r="AN90" s="369" t="str">
        <f t="shared" ref="AN90" si="53">AE90</f>
        <v>-</v>
      </c>
      <c r="AO90" s="369">
        <f t="shared" si="44"/>
        <v>2.4969412950594183E-2</v>
      </c>
      <c r="AP90" s="369"/>
      <c r="AQ90" s="369"/>
      <c r="AR90" s="369"/>
    </row>
    <row r="91" spans="1:16351" ht="15" customHeight="1" x14ac:dyDescent="0.25">
      <c r="B91" s="44" t="s">
        <v>39</v>
      </c>
      <c r="C91" s="44"/>
      <c r="D91" s="44"/>
      <c r="E91" s="44"/>
      <c r="F91" s="44"/>
      <c r="G91" s="44"/>
      <c r="H91" s="44"/>
      <c r="I91" s="44"/>
      <c r="J91" s="44"/>
      <c r="K91" s="44"/>
      <c r="L91" s="44"/>
      <c r="M91" s="44"/>
      <c r="N91" s="44"/>
      <c r="O91" s="44"/>
      <c r="P91" s="44"/>
      <c r="Q91" s="44"/>
      <c r="R91" s="44"/>
      <c r="S91" s="44"/>
      <c r="T91" s="377">
        <v>25006.845590034191</v>
      </c>
      <c r="U91" s="377">
        <v>25591.223426515528</v>
      </c>
      <c r="V91" s="377">
        <v>24421</v>
      </c>
      <c r="W91" s="377">
        <v>26015.931676027001</v>
      </c>
      <c r="X91" s="377">
        <f>'Operating Data'!X184</f>
        <v>26491.322074858006</v>
      </c>
      <c r="Y91" s="377">
        <f t="shared" si="42"/>
        <v>27777.512648584001</v>
      </c>
      <c r="Z91" s="377"/>
      <c r="AA91" s="377"/>
      <c r="AB91" s="377">
        <f>'Operating Data'!AB184</f>
        <v>6866.1253563809987</v>
      </c>
      <c r="AC91" s="377">
        <f>'Operating Data'!AC184</f>
        <v>13586.293384385999</v>
      </c>
      <c r="AD91" s="377">
        <f>'Operating Data'!AD184</f>
        <v>20314.117563954002</v>
      </c>
      <c r="AE91" s="377">
        <f>'Operating Data'!AE184</f>
        <v>27777.512648584001</v>
      </c>
      <c r="AF91" s="377">
        <f>'Operating Data'!AF184</f>
        <v>7308.2860633489991</v>
      </c>
      <c r="AG91" s="377"/>
      <c r="AH91" s="377"/>
      <c r="AI91" s="377"/>
      <c r="AK91" s="253">
        <f t="shared" si="43"/>
        <v>6866.1253563809987</v>
      </c>
      <c r="AL91" s="253">
        <f>AC91-AB91</f>
        <v>6720.1680280050005</v>
      </c>
      <c r="AM91" s="253">
        <f>AD91-AC91</f>
        <v>6727.8241795680024</v>
      </c>
      <c r="AN91" s="253">
        <f>AE91-AD91</f>
        <v>7463.3950846299995</v>
      </c>
      <c r="AO91" s="253">
        <f t="shared" si="44"/>
        <v>7308.2860633489991</v>
      </c>
      <c r="AP91" s="253"/>
      <c r="AQ91" s="253"/>
      <c r="AR91" s="253"/>
    </row>
    <row r="92" spans="1:16351" ht="15" customHeight="1" x14ac:dyDescent="0.25">
      <c r="B92" s="158" t="s">
        <v>131</v>
      </c>
      <c r="C92" s="158"/>
      <c r="D92" s="158"/>
      <c r="E92" s="158"/>
      <c r="F92" s="158"/>
      <c r="G92" s="158"/>
      <c r="H92" s="158"/>
      <c r="I92" s="158"/>
      <c r="J92" s="158"/>
      <c r="K92" s="158"/>
      <c r="L92" s="158"/>
      <c r="M92" s="158"/>
      <c r="N92" s="158"/>
      <c r="O92" s="158"/>
      <c r="P92" s="158"/>
      <c r="Q92" s="158"/>
      <c r="R92" s="158"/>
      <c r="S92" s="158"/>
      <c r="T92" s="367" t="s">
        <v>17</v>
      </c>
      <c r="U92" s="367">
        <f>IFERROR(IF(OR(U91/T91-1&gt;2,U91/T91-1&lt;-0.95),"-",U91/T91-1),"-")</f>
        <v>2.3368714553674952E-2</v>
      </c>
      <c r="V92" s="368">
        <f>IFERROR(IF(OR(V91/U91-1&gt;2,V91/U91-1&lt;-0.95),"-",V91/U91-1),"-")</f>
        <v>-4.5727529591376936E-2</v>
      </c>
      <c r="W92" s="369">
        <f>IFERROR(IF(OR(W91/V91-1&gt;2,W91/V91-1&lt;-0.95),"-",W91/V91-1),"-")</f>
        <v>6.5309843005077584E-2</v>
      </c>
      <c r="X92" s="369" t="str">
        <f>IFERROR(IF(OR(X91/Q91-1&gt;2,X91/Q91-1&lt;-0.95),"-",X91/Q91-1),"-")</f>
        <v>-</v>
      </c>
      <c r="Y92" s="369" t="str">
        <f t="shared" si="42"/>
        <v>-</v>
      </c>
      <c r="Z92" s="367"/>
      <c r="AB92" s="369" t="str">
        <f>IFERROR(IF(OR(AB91/#REF!-1&gt;2,AB91/#REF!-1&lt;-0.95),"-",AB91/#REF!-1),"-")</f>
        <v>-</v>
      </c>
      <c r="AC92" s="369" t="str">
        <f>IFERROR(IF(OR(AC91/#REF!-1&gt;2,AC91/#REF!-1&lt;-0.95),"-",AC91/#REF!-1),"-")</f>
        <v>-</v>
      </c>
      <c r="AD92" s="369" t="str">
        <f>IFERROR(IF(OR(AD91/#REF!-1&gt;2,AD91/#REF!-1&lt;-0.95),"-",AD91/#REF!-1),"-")</f>
        <v>-</v>
      </c>
      <c r="AE92" s="369" t="str">
        <f>IFERROR(IF(OR(AE91/#REF!-1&gt;2,AE91/#REF!-1&lt;-0.95),"-",AE91/#REF!-1),"-")</f>
        <v>-</v>
      </c>
      <c r="AF92" s="369">
        <f>IFERROR(IF(OR(AF91/AB91-1&gt;2,AF91/AB91-1&lt;-0.95),"-",AF91/AB91-1),"-")</f>
        <v>6.4397412516956187E-2</v>
      </c>
      <c r="AG92" s="369"/>
      <c r="AH92" s="369"/>
      <c r="AI92" s="369"/>
      <c r="AK92" s="369" t="str">
        <f t="shared" si="43"/>
        <v>-</v>
      </c>
      <c r="AL92" s="369" t="str">
        <f t="shared" ref="AL92" si="54">AC92</f>
        <v>-</v>
      </c>
      <c r="AM92" s="369" t="str">
        <f t="shared" ref="AM92" si="55">AD92</f>
        <v>-</v>
      </c>
      <c r="AN92" s="369" t="str">
        <f t="shared" ref="AN92" si="56">AE92</f>
        <v>-</v>
      </c>
      <c r="AO92" s="369">
        <f t="shared" si="44"/>
        <v>6.4397412516956187E-2</v>
      </c>
      <c r="AP92" s="369"/>
      <c r="AQ92" s="369"/>
      <c r="AR92" s="369"/>
    </row>
    <row r="93" spans="1:16351" ht="15" customHeight="1" x14ac:dyDescent="0.55000000000000004">
      <c r="B93" s="153"/>
      <c r="C93" s="153"/>
      <c r="D93" s="153"/>
      <c r="E93" s="153"/>
      <c r="F93" s="153"/>
      <c r="G93" s="153"/>
      <c r="H93" s="153"/>
      <c r="I93" s="153"/>
      <c r="J93" s="153"/>
      <c r="K93" s="153"/>
      <c r="L93" s="153"/>
      <c r="M93" s="153"/>
      <c r="N93" s="153"/>
      <c r="O93" s="153"/>
      <c r="P93" s="153"/>
      <c r="Q93" s="153"/>
      <c r="R93" s="153"/>
      <c r="S93" s="153"/>
      <c r="T93" s="378"/>
    </row>
    <row r="94" spans="1:16351" ht="30" customHeight="1" x14ac:dyDescent="0.25">
      <c r="B94" s="186" t="s">
        <v>51</v>
      </c>
      <c r="C94" s="186"/>
      <c r="D94" s="186"/>
      <c r="E94" s="186"/>
      <c r="F94" s="186"/>
      <c r="G94" s="186"/>
      <c r="H94" s="186"/>
      <c r="I94" s="186"/>
      <c r="J94" s="186"/>
      <c r="K94" s="186"/>
      <c r="L94" s="186"/>
      <c r="M94" s="186"/>
      <c r="N94" s="186"/>
      <c r="O94" s="186"/>
      <c r="P94" s="186"/>
      <c r="Q94" s="186"/>
      <c r="R94" s="186"/>
      <c r="S94" s="186"/>
    </row>
    <row r="95" spans="1:16351" ht="15" customHeight="1" x14ac:dyDescent="0.25">
      <c r="B95" s="164" t="s">
        <v>101</v>
      </c>
      <c r="C95" s="175"/>
      <c r="D95" s="175"/>
      <c r="E95" s="175"/>
      <c r="F95" s="175"/>
      <c r="G95" s="175"/>
      <c r="H95" s="175"/>
      <c r="I95" s="175"/>
      <c r="J95" s="175"/>
      <c r="K95" s="175"/>
      <c r="L95" s="175"/>
      <c r="M95" s="175"/>
      <c r="N95" s="175"/>
      <c r="O95" s="175"/>
      <c r="P95" s="175"/>
      <c r="Q95" s="175"/>
      <c r="R95" s="175"/>
      <c r="S95" s="175"/>
      <c r="T95" s="228">
        <v>2018</v>
      </c>
      <c r="U95" s="228">
        <v>2019</v>
      </c>
      <c r="V95" s="228">
        <v>2020</v>
      </c>
      <c r="W95" s="228">
        <v>2021</v>
      </c>
      <c r="X95" s="228">
        <v>2022</v>
      </c>
      <c r="Y95" s="231">
        <v>2023</v>
      </c>
      <c r="Z95" s="230">
        <v>2024</v>
      </c>
      <c r="AB95" s="231" t="s">
        <v>291</v>
      </c>
      <c r="AC95" s="231" t="s">
        <v>292</v>
      </c>
      <c r="AD95" s="231" t="s">
        <v>293</v>
      </c>
      <c r="AE95" s="231">
        <v>2023</v>
      </c>
      <c r="AF95" s="232" t="s">
        <v>318</v>
      </c>
      <c r="AG95" s="232" t="s">
        <v>319</v>
      </c>
      <c r="AH95" s="232" t="s">
        <v>320</v>
      </c>
      <c r="AI95" s="232">
        <v>2024</v>
      </c>
      <c r="AK95" s="231" t="s">
        <v>291</v>
      </c>
      <c r="AL95" s="231" t="s">
        <v>296</v>
      </c>
      <c r="AM95" s="231" t="s">
        <v>294</v>
      </c>
      <c r="AN95" s="231" t="s">
        <v>295</v>
      </c>
      <c r="AO95" s="232" t="s">
        <v>318</v>
      </c>
      <c r="AP95" s="232" t="s">
        <v>321</v>
      </c>
      <c r="AQ95" s="232" t="s">
        <v>322</v>
      </c>
      <c r="AR95" s="232" t="s">
        <v>323</v>
      </c>
    </row>
    <row r="96" spans="1:16351" ht="15" customHeight="1" x14ac:dyDescent="0.25">
      <c r="B96" s="77" t="s">
        <v>102</v>
      </c>
      <c r="C96" s="77"/>
      <c r="D96" s="77"/>
      <c r="E96" s="77"/>
      <c r="F96" s="77"/>
      <c r="G96" s="77"/>
      <c r="H96" s="77"/>
      <c r="I96" s="77"/>
      <c r="J96" s="77"/>
      <c r="K96" s="77"/>
      <c r="L96" s="77"/>
      <c r="M96" s="77"/>
      <c r="N96" s="77"/>
      <c r="O96" s="77"/>
      <c r="P96" s="77"/>
      <c r="Q96" s="77"/>
      <c r="R96" s="77"/>
      <c r="S96" s="77"/>
      <c r="T96" s="355">
        <v>1084.3812123100004</v>
      </c>
      <c r="U96" s="355">
        <v>1052.4983372799995</v>
      </c>
      <c r="V96" s="355">
        <v>1029.3249892599999</v>
      </c>
      <c r="W96" s="355">
        <v>1058.4338964799999</v>
      </c>
      <c r="X96" s="355">
        <v>1072.3079267399999</v>
      </c>
      <c r="Y96" s="355">
        <f t="shared" ref="Y96:Y106" si="57">+AE96</f>
        <v>1112.9326581299999</v>
      </c>
      <c r="Z96" s="355"/>
      <c r="AB96" s="355">
        <v>271.02818651000001</v>
      </c>
      <c r="AC96" s="355">
        <v>541.90219595999997</v>
      </c>
      <c r="AD96" s="355">
        <v>812.98171679999996</v>
      </c>
      <c r="AE96" s="355">
        <v>1112.9326581299999</v>
      </c>
      <c r="AF96" s="355">
        <v>281.40074447000001</v>
      </c>
      <c r="AG96" s="355"/>
      <c r="AH96" s="355"/>
      <c r="AI96" s="355"/>
      <c r="AK96" s="355">
        <f t="shared" ref="AK96:AK106" si="58">AB96</f>
        <v>271.02818651000001</v>
      </c>
      <c r="AL96" s="355">
        <f t="shared" ref="AL96:AL106" si="59">AC96-AB96</f>
        <v>270.87400944999996</v>
      </c>
      <c r="AM96" s="355">
        <f t="shared" ref="AM96:AM106" si="60">AD96-AC96</f>
        <v>271.07952083999999</v>
      </c>
      <c r="AN96" s="355">
        <f t="shared" ref="AN96:AN106" si="61">AE96-AD96</f>
        <v>299.95094132999998</v>
      </c>
      <c r="AO96" s="355">
        <f t="shared" ref="AO96:AO106" si="62">AF96</f>
        <v>281.40074447000001</v>
      </c>
      <c r="AP96" s="355"/>
      <c r="AQ96" s="355"/>
      <c r="AR96" s="355"/>
    </row>
    <row r="97" spans="2:52" ht="15" customHeight="1" x14ac:dyDescent="0.25">
      <c r="B97" s="201" t="s">
        <v>444</v>
      </c>
      <c r="C97" s="81"/>
      <c r="D97" s="81"/>
      <c r="E97" s="81"/>
      <c r="F97" s="81"/>
      <c r="G97" s="81"/>
      <c r="H97" s="81"/>
      <c r="I97" s="81"/>
      <c r="J97" s="81"/>
      <c r="K97" s="81"/>
      <c r="L97" s="81"/>
      <c r="M97" s="81"/>
      <c r="N97" s="81"/>
      <c r="O97" s="81"/>
      <c r="P97" s="81"/>
      <c r="Q97" s="81"/>
      <c r="R97" s="81"/>
      <c r="S97" s="81"/>
      <c r="T97" s="356">
        <v>1075.6981697061574</v>
      </c>
      <c r="U97" s="356">
        <v>1039.0383022120245</v>
      </c>
      <c r="V97" s="356">
        <v>1023.4107073517705</v>
      </c>
      <c r="W97" s="356">
        <v>1054.7646119557101</v>
      </c>
      <c r="X97" s="356">
        <v>1062.9561967369661</v>
      </c>
      <c r="Y97" s="356">
        <f t="shared" si="57"/>
        <v>1104.951132612292</v>
      </c>
      <c r="Z97" s="356"/>
      <c r="AB97" s="356">
        <v>268.24714921238603</v>
      </c>
      <c r="AC97" s="356">
        <v>536.54381980916799</v>
      </c>
      <c r="AD97" s="356">
        <v>806.13483486079008</v>
      </c>
      <c r="AE97" s="356">
        <v>1104.951132612292</v>
      </c>
      <c r="AF97" s="356">
        <v>280.94289354644997</v>
      </c>
      <c r="AG97" s="356"/>
      <c r="AH97" s="356"/>
      <c r="AI97" s="356"/>
      <c r="AK97" s="356">
        <f t="shared" si="58"/>
        <v>268.24714921238603</v>
      </c>
      <c r="AL97" s="356">
        <f t="shared" si="59"/>
        <v>268.29667059678195</v>
      </c>
      <c r="AM97" s="356">
        <f t="shared" si="60"/>
        <v>269.59101505162209</v>
      </c>
      <c r="AN97" s="356">
        <f t="shared" si="61"/>
        <v>298.81629775150191</v>
      </c>
      <c r="AO97" s="356">
        <f t="shared" si="62"/>
        <v>280.94289354644997</v>
      </c>
      <c r="AP97" s="356"/>
      <c r="AQ97" s="356"/>
      <c r="AR97" s="356"/>
    </row>
    <row r="98" spans="2:52" ht="15" customHeight="1" x14ac:dyDescent="0.25">
      <c r="B98" s="202" t="s">
        <v>452</v>
      </c>
      <c r="C98" s="82"/>
      <c r="D98" s="82"/>
      <c r="E98" s="82"/>
      <c r="F98" s="82"/>
      <c r="G98" s="82"/>
      <c r="H98" s="82"/>
      <c r="I98" s="82"/>
      <c r="J98" s="82"/>
      <c r="K98" s="82"/>
      <c r="L98" s="82"/>
      <c r="M98" s="82"/>
      <c r="N98" s="82"/>
      <c r="O98" s="82"/>
      <c r="P98" s="82"/>
      <c r="Q98" s="82"/>
      <c r="R98" s="82"/>
      <c r="S98" s="82"/>
      <c r="T98" s="356">
        <v>8.6830426038424484</v>
      </c>
      <c r="U98" s="356">
        <v>10.957467327975435</v>
      </c>
      <c r="V98" s="356">
        <v>5.9142819082294587</v>
      </c>
      <c r="W98" s="356">
        <v>3.6692845242898784</v>
      </c>
      <c r="X98" s="356">
        <v>9.3517312299999986</v>
      </c>
      <c r="Y98" s="356">
        <f t="shared" si="57"/>
        <v>7.9815258799999995</v>
      </c>
      <c r="Z98" s="356"/>
      <c r="AB98" s="356">
        <v>2.7810372400000007</v>
      </c>
      <c r="AC98" s="356">
        <v>5.3583754499999996</v>
      </c>
      <c r="AD98" s="356">
        <v>6.8468812799999998</v>
      </c>
      <c r="AE98" s="356">
        <v>7.9815258799999995</v>
      </c>
      <c r="AF98" s="356">
        <v>0.45785050000000022</v>
      </c>
      <c r="AG98" s="356"/>
      <c r="AH98" s="356"/>
      <c r="AI98" s="356"/>
      <c r="AK98" s="356">
        <f t="shared" si="58"/>
        <v>2.7810372400000007</v>
      </c>
      <c r="AL98" s="356">
        <f t="shared" si="59"/>
        <v>2.5773382099999989</v>
      </c>
      <c r="AM98" s="356">
        <f t="shared" si="60"/>
        <v>1.4885058300000003</v>
      </c>
      <c r="AN98" s="356">
        <f t="shared" si="61"/>
        <v>1.1346445999999997</v>
      </c>
      <c r="AO98" s="356">
        <f t="shared" si="62"/>
        <v>0.45785050000000022</v>
      </c>
      <c r="AP98" s="356"/>
      <c r="AQ98" s="356"/>
      <c r="AR98" s="356"/>
    </row>
    <row r="99" spans="2:52" s="48" customFormat="1" ht="15" customHeight="1" x14ac:dyDescent="0.25">
      <c r="B99" s="81" t="s">
        <v>148</v>
      </c>
      <c r="C99" s="81"/>
      <c r="D99" s="81"/>
      <c r="E99" s="81"/>
      <c r="F99" s="81"/>
      <c r="G99" s="81"/>
      <c r="H99" s="81"/>
      <c r="I99" s="81"/>
      <c r="J99" s="81"/>
      <c r="K99" s="81"/>
      <c r="L99" s="81"/>
      <c r="M99" s="81"/>
      <c r="N99" s="81"/>
      <c r="O99" s="81"/>
      <c r="P99" s="81"/>
      <c r="Q99" s="81"/>
      <c r="R99" s="81"/>
      <c r="S99" s="81"/>
      <c r="T99" s="356">
        <v>355.08747737399995</v>
      </c>
      <c r="U99" s="356">
        <v>336.65927028999999</v>
      </c>
      <c r="V99" s="356">
        <v>300.96406495999997</v>
      </c>
      <c r="W99" s="356">
        <v>282.46494275999999</v>
      </c>
      <c r="X99" s="356">
        <v>289.42709537000013</v>
      </c>
      <c r="Y99" s="356">
        <f t="shared" si="57"/>
        <v>307.22489489999998</v>
      </c>
      <c r="Z99" s="356"/>
      <c r="AA99" s="354"/>
      <c r="AB99" s="356">
        <v>74.634729950000008</v>
      </c>
      <c r="AC99" s="356">
        <v>149.81081472999989</v>
      </c>
      <c r="AD99" s="356">
        <v>221.44193451000001</v>
      </c>
      <c r="AE99" s="356">
        <v>307.22489489999998</v>
      </c>
      <c r="AF99" s="356">
        <v>73.894135010000014</v>
      </c>
      <c r="AG99" s="356"/>
      <c r="AH99" s="356"/>
      <c r="AI99" s="356"/>
      <c r="AJ99" s="354"/>
      <c r="AK99" s="356">
        <f t="shared" si="58"/>
        <v>74.634729950000008</v>
      </c>
      <c r="AL99" s="356">
        <f t="shared" si="59"/>
        <v>75.176084779999883</v>
      </c>
      <c r="AM99" s="356">
        <f t="shared" si="60"/>
        <v>71.63111978000012</v>
      </c>
      <c r="AN99" s="356">
        <f t="shared" si="61"/>
        <v>85.782960389999971</v>
      </c>
      <c r="AO99" s="356">
        <f t="shared" si="62"/>
        <v>73.894135010000014</v>
      </c>
      <c r="AP99" s="356"/>
      <c r="AQ99" s="356"/>
      <c r="AR99" s="356"/>
      <c r="AS99" s="354"/>
      <c r="AT99" s="354"/>
      <c r="AU99" s="354"/>
      <c r="AV99" s="354"/>
      <c r="AW99" s="354"/>
      <c r="AX99" s="354"/>
      <c r="AY99" s="354"/>
      <c r="AZ99" s="78"/>
    </row>
    <row r="100" spans="2:52" s="48" customFormat="1" ht="15" customHeight="1" x14ac:dyDescent="0.25">
      <c r="B100" s="82" t="s">
        <v>453</v>
      </c>
      <c r="C100" s="82"/>
      <c r="D100" s="82"/>
      <c r="E100" s="82"/>
      <c r="F100" s="82"/>
      <c r="G100" s="82"/>
      <c r="H100" s="82"/>
      <c r="I100" s="82"/>
      <c r="J100" s="82"/>
      <c r="K100" s="82"/>
      <c r="L100" s="82"/>
      <c r="M100" s="82"/>
      <c r="N100" s="82"/>
      <c r="O100" s="82"/>
      <c r="P100" s="82"/>
      <c r="Q100" s="82"/>
      <c r="R100" s="82"/>
      <c r="S100" s="82"/>
      <c r="T100" s="356">
        <v>257.97607427999998</v>
      </c>
      <c r="U100" s="356">
        <v>261.83324488</v>
      </c>
      <c r="V100" s="356">
        <v>261.85981556000002</v>
      </c>
      <c r="W100" s="356">
        <v>261.00914211999998</v>
      </c>
      <c r="X100" s="356">
        <v>264.76224100000002</v>
      </c>
      <c r="Y100" s="356">
        <f t="shared" si="57"/>
        <v>286.74471144</v>
      </c>
      <c r="Z100" s="356"/>
      <c r="AA100" s="354"/>
      <c r="AB100" s="356">
        <v>71.686177860000001</v>
      </c>
      <c r="AC100" s="356">
        <v>143.37235572</v>
      </c>
      <c r="AD100" s="356">
        <v>215.05853358000002</v>
      </c>
      <c r="AE100" s="356">
        <v>286.74471144</v>
      </c>
      <c r="AF100" s="356">
        <v>75.110862620000006</v>
      </c>
      <c r="AG100" s="356"/>
      <c r="AH100" s="356"/>
      <c r="AI100" s="356"/>
      <c r="AJ100" s="354"/>
      <c r="AK100" s="356">
        <f t="shared" si="58"/>
        <v>71.686177860000001</v>
      </c>
      <c r="AL100" s="356">
        <f t="shared" si="59"/>
        <v>71.686177860000001</v>
      </c>
      <c r="AM100" s="356">
        <f t="shared" si="60"/>
        <v>71.686177860000015</v>
      </c>
      <c r="AN100" s="356">
        <f t="shared" si="61"/>
        <v>71.686177859999987</v>
      </c>
      <c r="AO100" s="356">
        <f t="shared" si="62"/>
        <v>75.110862620000006</v>
      </c>
      <c r="AP100" s="356"/>
      <c r="AQ100" s="356"/>
      <c r="AR100" s="356"/>
      <c r="AS100" s="354"/>
      <c r="AT100" s="354"/>
      <c r="AU100" s="354"/>
      <c r="AV100" s="354"/>
      <c r="AW100" s="354"/>
      <c r="AX100" s="354"/>
      <c r="AY100" s="354"/>
      <c r="AZ100" s="78"/>
    </row>
    <row r="101" spans="2:52" s="41" customFormat="1" ht="15" customHeight="1" x14ac:dyDescent="0.25">
      <c r="B101" s="82" t="s">
        <v>149</v>
      </c>
      <c r="C101" s="82"/>
      <c r="D101" s="82"/>
      <c r="E101" s="82"/>
      <c r="F101" s="82"/>
      <c r="G101" s="82"/>
      <c r="H101" s="82"/>
      <c r="I101" s="82"/>
      <c r="J101" s="82"/>
      <c r="K101" s="82"/>
      <c r="L101" s="82"/>
      <c r="M101" s="82"/>
      <c r="N101" s="82"/>
      <c r="O101" s="82"/>
      <c r="P101" s="82"/>
      <c r="Q101" s="82"/>
      <c r="R101" s="82"/>
      <c r="S101" s="82"/>
      <c r="T101" s="356">
        <v>-8.6565622879999857</v>
      </c>
      <c r="U101" s="356">
        <v>-23.128224020000111</v>
      </c>
      <c r="V101" s="356">
        <v>-4.8370105499999978</v>
      </c>
      <c r="W101" s="356">
        <v>-16.133917549999978</v>
      </c>
      <c r="X101" s="356">
        <v>-14.908851769999984</v>
      </c>
      <c r="Y101" s="356">
        <f t="shared" si="57"/>
        <v>-11.976865029999999</v>
      </c>
      <c r="Z101" s="356"/>
      <c r="AA101" s="223"/>
      <c r="AB101" s="356">
        <v>-2.6442375899999888</v>
      </c>
      <c r="AC101" s="356">
        <v>-5.4365977100000009</v>
      </c>
      <c r="AD101" s="356">
        <v>-8.0273585699999899</v>
      </c>
      <c r="AE101" s="356">
        <v>-11.976865029999999</v>
      </c>
      <c r="AF101" s="356">
        <v>-2.3786393899999894</v>
      </c>
      <c r="AG101" s="356"/>
      <c r="AH101" s="356"/>
      <c r="AI101" s="356"/>
      <c r="AJ101" s="223"/>
      <c r="AK101" s="356">
        <f t="shared" si="58"/>
        <v>-2.6442375899999888</v>
      </c>
      <c r="AL101" s="356">
        <f t="shared" si="59"/>
        <v>-2.7923601200000121</v>
      </c>
      <c r="AM101" s="356">
        <f t="shared" si="60"/>
        <v>-2.590760859999989</v>
      </c>
      <c r="AN101" s="356">
        <f t="shared" si="61"/>
        <v>-3.9495064600000092</v>
      </c>
      <c r="AO101" s="356">
        <f t="shared" si="62"/>
        <v>-2.3786393899999894</v>
      </c>
      <c r="AP101" s="356"/>
      <c r="AQ101" s="356"/>
      <c r="AR101" s="356"/>
      <c r="AS101" s="223"/>
      <c r="AT101" s="223"/>
      <c r="AU101" s="223"/>
      <c r="AV101" s="223"/>
      <c r="AW101" s="223"/>
      <c r="AX101" s="223"/>
      <c r="AY101" s="223"/>
      <c r="AZ101"/>
    </row>
    <row r="102" spans="2:52" s="41" customFormat="1" ht="15" customHeight="1" x14ac:dyDescent="0.25">
      <c r="B102" s="87" t="s">
        <v>150</v>
      </c>
      <c r="C102" s="87"/>
      <c r="D102" s="87"/>
      <c r="E102" s="87"/>
      <c r="F102" s="87"/>
      <c r="G102" s="87"/>
      <c r="H102" s="87"/>
      <c r="I102" s="87"/>
      <c r="J102" s="87"/>
      <c r="K102" s="87"/>
      <c r="L102" s="87"/>
      <c r="M102" s="87"/>
      <c r="N102" s="87"/>
      <c r="O102" s="87"/>
      <c r="P102" s="87"/>
      <c r="Q102" s="87"/>
      <c r="R102" s="87"/>
      <c r="S102" s="87"/>
      <c r="T102" s="355">
        <v>604.40698936599995</v>
      </c>
      <c r="U102" s="355">
        <v>575.36429114999999</v>
      </c>
      <c r="V102" s="355">
        <v>557.98686997000004</v>
      </c>
      <c r="W102" s="355">
        <v>527.34016732999999</v>
      </c>
      <c r="X102" s="355">
        <v>539.28048460000014</v>
      </c>
      <c r="Y102" s="355">
        <f t="shared" si="57"/>
        <v>581.99274130999993</v>
      </c>
      <c r="Z102" s="355"/>
      <c r="AA102" s="223"/>
      <c r="AB102" s="355">
        <v>143.67667022000001</v>
      </c>
      <c r="AC102" s="355">
        <v>287.74657273999992</v>
      </c>
      <c r="AD102" s="355">
        <v>428.47310952000004</v>
      </c>
      <c r="AE102" s="355">
        <v>581.99274130999993</v>
      </c>
      <c r="AF102" s="355">
        <v>146.62635824000003</v>
      </c>
      <c r="AG102" s="355"/>
      <c r="AH102" s="355"/>
      <c r="AI102" s="355"/>
      <c r="AJ102" s="223"/>
      <c r="AK102" s="355">
        <f t="shared" si="58"/>
        <v>143.67667022000001</v>
      </c>
      <c r="AL102" s="355">
        <f t="shared" si="59"/>
        <v>144.06990251999991</v>
      </c>
      <c r="AM102" s="355">
        <f t="shared" si="60"/>
        <v>140.72653678000012</v>
      </c>
      <c r="AN102" s="355">
        <f t="shared" si="61"/>
        <v>153.51963178999989</v>
      </c>
      <c r="AO102" s="355">
        <f t="shared" si="62"/>
        <v>146.62635824000003</v>
      </c>
      <c r="AP102" s="355"/>
      <c r="AQ102" s="355"/>
      <c r="AR102" s="355"/>
      <c r="AS102" s="223"/>
      <c r="AT102" s="223"/>
      <c r="AU102" s="223"/>
      <c r="AV102" s="223"/>
      <c r="AW102" s="223"/>
      <c r="AX102" s="223"/>
      <c r="AY102" s="223"/>
      <c r="AZ102"/>
    </row>
    <row r="103" spans="2:52" s="41" customFormat="1" ht="15" customHeight="1" x14ac:dyDescent="0.25">
      <c r="B103" s="78" t="s">
        <v>151</v>
      </c>
      <c r="C103" s="78"/>
      <c r="D103" s="78"/>
      <c r="E103" s="78"/>
      <c r="F103" s="78"/>
      <c r="G103" s="78"/>
      <c r="H103" s="78"/>
      <c r="I103" s="78"/>
      <c r="J103" s="78"/>
      <c r="K103" s="78"/>
      <c r="L103" s="78"/>
      <c r="M103" s="78"/>
      <c r="N103" s="78"/>
      <c r="O103" s="78"/>
      <c r="P103" s="78"/>
      <c r="Q103" s="78"/>
      <c r="R103" s="78"/>
      <c r="S103" s="78"/>
      <c r="T103" s="357" t="s">
        <v>17</v>
      </c>
      <c r="U103" s="356">
        <v>2.096458E-2</v>
      </c>
      <c r="V103" s="356">
        <v>6.2311600000000002E-2</v>
      </c>
      <c r="W103" s="356">
        <v>-0.25555322000000003</v>
      </c>
      <c r="X103" s="356">
        <v>-0.21975459999999999</v>
      </c>
      <c r="Y103" s="356">
        <f t="shared" si="57"/>
        <v>-9.5560140000000002E-2</v>
      </c>
      <c r="Z103" s="356"/>
      <c r="AA103" s="223"/>
      <c r="AB103" s="356">
        <v>0</v>
      </c>
      <c r="AC103" s="356">
        <v>4.3443400000000004E-3</v>
      </c>
      <c r="AD103" s="356">
        <v>4.3443400000000004E-3</v>
      </c>
      <c r="AE103" s="356">
        <v>-9.5560140000000002E-2</v>
      </c>
      <c r="AF103" s="356">
        <v>2.469818E-2</v>
      </c>
      <c r="AG103" s="356"/>
      <c r="AH103" s="356"/>
      <c r="AI103" s="356"/>
      <c r="AJ103" s="223"/>
      <c r="AK103" s="356">
        <f t="shared" si="58"/>
        <v>0</v>
      </c>
      <c r="AL103" s="356">
        <f t="shared" si="59"/>
        <v>4.3443400000000004E-3</v>
      </c>
      <c r="AM103" s="356">
        <f t="shared" si="60"/>
        <v>0</v>
      </c>
      <c r="AN103" s="356">
        <f t="shared" si="61"/>
        <v>-9.9904480000000004E-2</v>
      </c>
      <c r="AO103" s="356">
        <f t="shared" si="62"/>
        <v>2.469818E-2</v>
      </c>
      <c r="AP103" s="356"/>
      <c r="AQ103" s="356"/>
      <c r="AR103" s="356"/>
      <c r="AS103" s="223"/>
      <c r="AT103" s="223"/>
      <c r="AU103" s="223"/>
      <c r="AV103" s="223"/>
      <c r="AW103" s="223"/>
      <c r="AX103" s="223"/>
      <c r="AY103" s="223"/>
      <c r="AZ103"/>
    </row>
    <row r="104" spans="2:52" s="41" customFormat="1" ht="15" customHeight="1" x14ac:dyDescent="0.25">
      <c r="B104" s="87" t="s">
        <v>72</v>
      </c>
      <c r="C104" s="87"/>
      <c r="D104" s="87"/>
      <c r="E104" s="87"/>
      <c r="F104" s="87"/>
      <c r="G104" s="87"/>
      <c r="H104" s="87"/>
      <c r="I104" s="87"/>
      <c r="J104" s="87"/>
      <c r="K104" s="87"/>
      <c r="L104" s="87"/>
      <c r="M104" s="87"/>
      <c r="N104" s="87"/>
      <c r="O104" s="87"/>
      <c r="P104" s="87"/>
      <c r="Q104" s="87"/>
      <c r="R104" s="87"/>
      <c r="S104" s="87"/>
      <c r="T104" s="355">
        <v>479.97422294400036</v>
      </c>
      <c r="U104" s="355">
        <v>477.15501070999971</v>
      </c>
      <c r="V104" s="355">
        <v>471.40043088999994</v>
      </c>
      <c r="W104" s="355">
        <v>531.34928236999997</v>
      </c>
      <c r="X104" s="355">
        <v>533.24719674000005</v>
      </c>
      <c r="Y104" s="355">
        <f t="shared" si="57"/>
        <v>531.0354769600001</v>
      </c>
      <c r="Z104" s="355"/>
      <c r="AA104" s="223"/>
      <c r="AB104" s="355">
        <v>127.35151629000006</v>
      </c>
      <c r="AC104" s="355">
        <v>254.15127888000012</v>
      </c>
      <c r="AD104" s="355">
        <v>384.50426294000005</v>
      </c>
      <c r="AE104" s="355">
        <v>531.0354769600001</v>
      </c>
      <c r="AF104" s="355">
        <v>134.79908440999995</v>
      </c>
      <c r="AG104" s="355"/>
      <c r="AH104" s="355"/>
      <c r="AI104" s="355"/>
      <c r="AJ104" s="223"/>
      <c r="AK104" s="355">
        <f t="shared" si="58"/>
        <v>127.35151629000006</v>
      </c>
      <c r="AL104" s="355">
        <f t="shared" si="59"/>
        <v>126.79976259000006</v>
      </c>
      <c r="AM104" s="355">
        <f t="shared" si="60"/>
        <v>130.35298405999993</v>
      </c>
      <c r="AN104" s="355">
        <f t="shared" si="61"/>
        <v>146.53121402000005</v>
      </c>
      <c r="AO104" s="355">
        <f t="shared" si="62"/>
        <v>134.79908440999995</v>
      </c>
      <c r="AP104" s="355"/>
      <c r="AQ104" s="355"/>
      <c r="AR104" s="355"/>
      <c r="AS104" s="223"/>
      <c r="AT104" s="223"/>
      <c r="AU104" s="223"/>
      <c r="AV104" s="223"/>
      <c r="AW104" s="223"/>
      <c r="AX104" s="223"/>
      <c r="AY104" s="223"/>
      <c r="AZ104"/>
    </row>
    <row r="105" spans="2:52" ht="15" customHeight="1" x14ac:dyDescent="0.25">
      <c r="B105" s="85" t="s">
        <v>152</v>
      </c>
      <c r="C105" s="85"/>
      <c r="D105" s="85"/>
      <c r="E105" s="85"/>
      <c r="F105" s="85"/>
      <c r="G105" s="85"/>
      <c r="H105" s="85"/>
      <c r="I105" s="85"/>
      <c r="J105" s="85"/>
      <c r="K105" s="85"/>
      <c r="L105" s="85"/>
      <c r="M105" s="85"/>
      <c r="N105" s="85"/>
      <c r="O105" s="85"/>
      <c r="P105" s="85"/>
      <c r="Q105" s="85"/>
      <c r="R105" s="85"/>
      <c r="S105" s="85"/>
      <c r="T105" s="356">
        <v>254.25946613999997</v>
      </c>
      <c r="U105" s="356">
        <v>267.59960567999997</v>
      </c>
      <c r="V105" s="356">
        <v>269.86754105</v>
      </c>
      <c r="W105" s="356">
        <v>291.89273854999999</v>
      </c>
      <c r="X105" s="356">
        <v>301.70528679</v>
      </c>
      <c r="Y105" s="356">
        <f t="shared" si="57"/>
        <v>311.80983140000006</v>
      </c>
      <c r="Z105" s="356"/>
      <c r="AB105" s="356">
        <v>74.832704079999999</v>
      </c>
      <c r="AC105" s="356">
        <v>151.57895200000002</v>
      </c>
      <c r="AD105" s="356">
        <v>230.66019899</v>
      </c>
      <c r="AE105" s="356">
        <v>311.80983140000006</v>
      </c>
      <c r="AF105" s="356">
        <v>75.860064730000019</v>
      </c>
      <c r="AG105" s="356"/>
      <c r="AH105" s="356"/>
      <c r="AI105" s="356"/>
      <c r="AK105" s="356">
        <f t="shared" si="58"/>
        <v>74.832704079999999</v>
      </c>
      <c r="AL105" s="356">
        <f t="shared" si="59"/>
        <v>76.746247920000016</v>
      </c>
      <c r="AM105" s="356">
        <f t="shared" si="60"/>
        <v>79.081246989999983</v>
      </c>
      <c r="AN105" s="356">
        <f t="shared" si="61"/>
        <v>81.149632410000066</v>
      </c>
      <c r="AO105" s="356">
        <f t="shared" si="62"/>
        <v>75.860064730000019</v>
      </c>
      <c r="AP105" s="356"/>
      <c r="AQ105" s="356"/>
      <c r="AR105" s="356"/>
    </row>
    <row r="106" spans="2:52" ht="15" customHeight="1" x14ac:dyDescent="0.25">
      <c r="B106" s="87" t="s">
        <v>77</v>
      </c>
      <c r="C106" s="87"/>
      <c r="D106" s="87"/>
      <c r="E106" s="87"/>
      <c r="F106" s="87"/>
      <c r="G106" s="87"/>
      <c r="H106" s="87"/>
      <c r="I106" s="87"/>
      <c r="J106" s="87"/>
      <c r="K106" s="87"/>
      <c r="L106" s="87"/>
      <c r="M106" s="87"/>
      <c r="N106" s="87"/>
      <c r="O106" s="87"/>
      <c r="P106" s="87"/>
      <c r="Q106" s="87"/>
      <c r="R106" s="87"/>
      <c r="S106" s="87"/>
      <c r="T106" s="355">
        <v>225.71475680400042</v>
      </c>
      <c r="U106" s="355">
        <v>209.55540502999972</v>
      </c>
      <c r="V106" s="355">
        <v>201.53288983999997</v>
      </c>
      <c r="W106" s="355">
        <v>239.45654381999998</v>
      </c>
      <c r="X106" s="355">
        <v>231.54190994999996</v>
      </c>
      <c r="Y106" s="355">
        <f t="shared" si="57"/>
        <v>219.22564556000043</v>
      </c>
      <c r="Z106" s="355"/>
      <c r="AB106" s="355">
        <v>52.518812210000036</v>
      </c>
      <c r="AC106" s="355">
        <v>102.5723268800002</v>
      </c>
      <c r="AD106" s="355">
        <v>153.84406394999999</v>
      </c>
      <c r="AE106" s="355">
        <v>219.22564556000043</v>
      </c>
      <c r="AF106" s="355">
        <v>58.93901967999998</v>
      </c>
      <c r="AG106" s="355"/>
      <c r="AH106" s="355"/>
      <c r="AI106" s="355"/>
      <c r="AK106" s="355">
        <f t="shared" si="58"/>
        <v>52.518812210000036</v>
      </c>
      <c r="AL106" s="355">
        <f t="shared" si="59"/>
        <v>50.053514670000169</v>
      </c>
      <c r="AM106" s="355">
        <f t="shared" si="60"/>
        <v>51.271737069999787</v>
      </c>
      <c r="AN106" s="355">
        <f t="shared" si="61"/>
        <v>65.381581610000438</v>
      </c>
      <c r="AO106" s="355">
        <f t="shared" si="62"/>
        <v>58.93901967999998</v>
      </c>
      <c r="AP106" s="355"/>
      <c r="AQ106" s="355"/>
      <c r="AR106" s="355"/>
    </row>
    <row r="107" spans="2:52" ht="15" customHeight="1" x14ac:dyDescent="0.25">
      <c r="B107" s="87"/>
      <c r="C107" s="87"/>
      <c r="D107" s="87"/>
      <c r="E107" s="87"/>
      <c r="F107" s="87"/>
      <c r="G107" s="87"/>
      <c r="H107" s="87"/>
      <c r="I107" s="87"/>
      <c r="J107" s="87"/>
      <c r="K107" s="87"/>
      <c r="L107" s="87"/>
      <c r="M107" s="87"/>
      <c r="N107" s="87"/>
      <c r="O107" s="87"/>
      <c r="P107" s="87"/>
      <c r="Q107" s="87"/>
      <c r="R107" s="87"/>
      <c r="S107" s="87"/>
    </row>
    <row r="108" spans="2:52" ht="15" customHeight="1" x14ac:dyDescent="0.25">
      <c r="B108" s="174" t="s">
        <v>78</v>
      </c>
      <c r="C108" s="174"/>
      <c r="D108" s="174"/>
      <c r="E108" s="174"/>
      <c r="F108" s="174"/>
      <c r="G108" s="174"/>
      <c r="H108" s="174"/>
      <c r="I108" s="174"/>
      <c r="J108" s="174"/>
      <c r="K108" s="174"/>
      <c r="L108" s="174"/>
      <c r="M108" s="174"/>
      <c r="N108" s="174"/>
      <c r="O108" s="174"/>
      <c r="P108" s="174"/>
      <c r="Q108" s="174"/>
      <c r="R108" s="174"/>
      <c r="S108" s="174"/>
      <c r="T108" s="228">
        <v>2018</v>
      </c>
      <c r="U108" s="228">
        <v>2019</v>
      </c>
      <c r="V108" s="228">
        <v>2020</v>
      </c>
      <c r="W108" s="228">
        <v>2021</v>
      </c>
      <c r="X108" s="228">
        <v>2022</v>
      </c>
      <c r="Y108" s="231">
        <v>2023</v>
      </c>
      <c r="Z108" s="230">
        <v>2024</v>
      </c>
      <c r="AB108" s="231" t="s">
        <v>291</v>
      </c>
      <c r="AC108" s="231" t="s">
        <v>292</v>
      </c>
      <c r="AD108" s="231" t="s">
        <v>293</v>
      </c>
      <c r="AE108" s="231">
        <v>2023</v>
      </c>
      <c r="AF108" s="232" t="s">
        <v>318</v>
      </c>
      <c r="AG108" s="232" t="s">
        <v>319</v>
      </c>
      <c r="AH108" s="232" t="s">
        <v>320</v>
      </c>
      <c r="AI108" s="232">
        <v>2024</v>
      </c>
      <c r="AK108" s="231" t="s">
        <v>291</v>
      </c>
      <c r="AL108" s="231" t="s">
        <v>296</v>
      </c>
      <c r="AM108" s="231" t="s">
        <v>294</v>
      </c>
      <c r="AN108" s="231" t="s">
        <v>295</v>
      </c>
      <c r="AO108" s="232" t="s">
        <v>318</v>
      </c>
      <c r="AP108" s="232" t="s">
        <v>321</v>
      </c>
      <c r="AQ108" s="232" t="s">
        <v>322</v>
      </c>
      <c r="AR108" s="232" t="s">
        <v>323</v>
      </c>
    </row>
    <row r="109" spans="2:52" ht="15" customHeight="1" x14ac:dyDescent="0.25">
      <c r="B109" s="50" t="s">
        <v>248</v>
      </c>
      <c r="C109" s="50"/>
      <c r="D109" s="50"/>
      <c r="E109" s="50"/>
      <c r="F109" s="50"/>
      <c r="G109" s="50"/>
      <c r="H109" s="50"/>
      <c r="I109" s="50"/>
      <c r="J109" s="50"/>
      <c r="K109" s="50"/>
      <c r="L109" s="50"/>
      <c r="M109" s="50"/>
      <c r="N109" s="50"/>
      <c r="O109" s="50"/>
      <c r="P109" s="50"/>
      <c r="Q109" s="50"/>
      <c r="R109" s="50"/>
      <c r="S109" s="50"/>
      <c r="T109" s="355">
        <v>2995.7289300000002</v>
      </c>
      <c r="U109" s="355">
        <v>2973.9040199999999</v>
      </c>
      <c r="V109" s="355">
        <v>2906.1210799999999</v>
      </c>
      <c r="W109" s="355">
        <v>2833.1728400000002</v>
      </c>
      <c r="X109" s="355">
        <f>'Operating Data'!X107</f>
        <v>2935.1695199999999</v>
      </c>
      <c r="Y109" s="355">
        <f>AE109</f>
        <v>2938.9917681832003</v>
      </c>
      <c r="Z109" s="355"/>
      <c r="AB109" s="355">
        <f>'Operating Data'!AB107</f>
        <v>2938.9917681832003</v>
      </c>
      <c r="AC109" s="355">
        <f>'Operating Data'!AC107</f>
        <v>2938.9917681832003</v>
      </c>
      <c r="AD109" s="355">
        <f>'Operating Data'!AD107</f>
        <v>2938.9917681832003</v>
      </c>
      <c r="AE109" s="355">
        <f>'Operating Data'!AE107</f>
        <v>2938.9917681832003</v>
      </c>
      <c r="AF109" s="355">
        <f>'Operating Data'!AF107</f>
        <v>2970.7629314344999</v>
      </c>
      <c r="AG109" s="355"/>
      <c r="AH109" s="355"/>
      <c r="AI109" s="355"/>
      <c r="AK109" s="355"/>
      <c r="AL109" s="355"/>
      <c r="AM109" s="355"/>
      <c r="AN109" s="355"/>
      <c r="AO109" s="355"/>
      <c r="AP109" s="355"/>
      <c r="AQ109" s="355"/>
      <c r="AR109" s="355"/>
    </row>
    <row r="110" spans="2:52" ht="15" customHeight="1" x14ac:dyDescent="0.25">
      <c r="B110" s="43" t="s">
        <v>140</v>
      </c>
      <c r="C110" s="43"/>
      <c r="D110" s="43"/>
      <c r="E110" s="43"/>
      <c r="F110" s="43"/>
      <c r="G110" s="43"/>
      <c r="H110" s="43"/>
      <c r="I110" s="43"/>
      <c r="J110" s="43"/>
      <c r="K110" s="43"/>
      <c r="L110" s="43"/>
      <c r="M110" s="43"/>
      <c r="N110" s="43"/>
      <c r="O110" s="43"/>
      <c r="P110" s="43"/>
      <c r="Q110" s="43"/>
      <c r="R110" s="43"/>
      <c r="S110" s="43"/>
      <c r="T110" s="356">
        <v>1831.6085</v>
      </c>
      <c r="U110" s="356">
        <v>1816.4480000000001</v>
      </c>
      <c r="V110" s="356">
        <v>1754.29</v>
      </c>
      <c r="W110" s="356">
        <v>1677.6233999999999</v>
      </c>
      <c r="X110" s="356">
        <f>'Operating Data'!X108</f>
        <v>1696.1631</v>
      </c>
      <c r="Y110" s="356">
        <f>AE110</f>
        <v>1697.9858186104</v>
      </c>
      <c r="Z110" s="356"/>
      <c r="AB110" s="356">
        <f>'Operating Data'!AB108</f>
        <v>1697.9858186104</v>
      </c>
      <c r="AC110" s="356">
        <f>'Operating Data'!AC108</f>
        <v>1697.9858186104</v>
      </c>
      <c r="AD110" s="356">
        <f>'Operating Data'!AD108</f>
        <v>1697.9858186104</v>
      </c>
      <c r="AE110" s="356">
        <f>'Operating Data'!AE108</f>
        <v>1697.9858186104</v>
      </c>
      <c r="AF110" s="356">
        <f>'Operating Data'!AF108</f>
        <v>1713.1373648563999</v>
      </c>
      <c r="AG110" s="356"/>
      <c r="AH110" s="356"/>
      <c r="AI110" s="356"/>
      <c r="AK110" s="356"/>
      <c r="AL110" s="356"/>
      <c r="AM110" s="356"/>
      <c r="AN110" s="356"/>
      <c r="AO110" s="356"/>
      <c r="AP110" s="356"/>
      <c r="AQ110" s="356"/>
      <c r="AR110" s="356"/>
    </row>
    <row r="111" spans="2:52" ht="15" customHeight="1" x14ac:dyDescent="0.25">
      <c r="B111" s="43" t="s">
        <v>141</v>
      </c>
      <c r="C111" s="43"/>
      <c r="D111" s="43"/>
      <c r="E111" s="43"/>
      <c r="F111" s="43"/>
      <c r="G111" s="43"/>
      <c r="H111" s="43"/>
      <c r="I111" s="43"/>
      <c r="J111" s="43"/>
      <c r="K111" s="43"/>
      <c r="L111" s="43"/>
      <c r="M111" s="43"/>
      <c r="N111" s="43"/>
      <c r="O111" s="43"/>
      <c r="P111" s="43"/>
      <c r="Q111" s="43"/>
      <c r="R111" s="43"/>
      <c r="S111" s="43"/>
      <c r="T111" s="356">
        <v>1164.1204299999999</v>
      </c>
      <c r="U111" s="356">
        <v>1157.4560200000001</v>
      </c>
      <c r="V111" s="356">
        <v>1151.8310799999999</v>
      </c>
      <c r="W111" s="356">
        <v>1155.54944</v>
      </c>
      <c r="X111" s="356">
        <f>'Operating Data'!X109</f>
        <v>1239.0064199999999</v>
      </c>
      <c r="Y111" s="356">
        <f>AE111</f>
        <v>1241.0059495728001</v>
      </c>
      <c r="Z111" s="356"/>
      <c r="AB111" s="356">
        <f>'Operating Data'!AB109</f>
        <v>1241.0059495728001</v>
      </c>
      <c r="AC111" s="356">
        <f>'Operating Data'!AC109</f>
        <v>1241.0059495728001</v>
      </c>
      <c r="AD111" s="356">
        <f>'Operating Data'!AD109</f>
        <v>1241.0059495728001</v>
      </c>
      <c r="AE111" s="356">
        <f>'Operating Data'!AE109</f>
        <v>1241.0059495728001</v>
      </c>
      <c r="AF111" s="356">
        <f>'Operating Data'!AF109</f>
        <v>1257.6255665781</v>
      </c>
      <c r="AG111" s="356"/>
      <c r="AH111" s="356"/>
      <c r="AI111" s="356"/>
      <c r="AK111" s="356"/>
      <c r="AL111" s="356"/>
      <c r="AM111" s="356"/>
      <c r="AN111" s="356"/>
      <c r="AO111" s="356"/>
      <c r="AP111" s="356"/>
      <c r="AQ111" s="356"/>
      <c r="AR111" s="356"/>
    </row>
    <row r="112" spans="2:52" ht="15" customHeight="1" x14ac:dyDescent="0.25">
      <c r="B112" s="41"/>
      <c r="C112" s="41"/>
      <c r="D112" s="41"/>
      <c r="E112" s="41"/>
      <c r="F112" s="41"/>
      <c r="G112" s="41"/>
      <c r="H112" s="41"/>
      <c r="I112" s="41"/>
      <c r="J112" s="41"/>
      <c r="K112" s="41"/>
      <c r="L112" s="41"/>
      <c r="M112" s="41"/>
      <c r="N112" s="41"/>
      <c r="O112" s="41"/>
      <c r="P112" s="41"/>
      <c r="Q112" s="41"/>
      <c r="R112" s="41"/>
      <c r="S112" s="41"/>
      <c r="T112" s="379"/>
      <c r="U112" s="379"/>
      <c r="V112" s="379"/>
      <c r="W112" s="379"/>
      <c r="X112" s="379"/>
      <c r="Y112" s="379"/>
      <c r="Z112" s="379"/>
      <c r="AB112" s="379"/>
      <c r="AC112" s="379"/>
      <c r="AD112" s="379"/>
      <c r="AE112" s="379"/>
      <c r="AF112" s="379"/>
      <c r="AG112" s="379"/>
      <c r="AH112" s="379"/>
      <c r="AI112" s="379"/>
      <c r="AK112" s="379"/>
      <c r="AL112" s="379"/>
      <c r="AM112" s="379"/>
      <c r="AN112" s="379"/>
      <c r="AO112" s="379"/>
      <c r="AP112" s="379"/>
      <c r="AQ112" s="379"/>
      <c r="AR112" s="379"/>
    </row>
    <row r="113" spans="2:44" ht="15" customHeight="1" x14ac:dyDescent="0.25">
      <c r="B113" s="50" t="s">
        <v>126</v>
      </c>
      <c r="C113" s="50"/>
      <c r="D113" s="50"/>
      <c r="E113" s="50"/>
      <c r="F113" s="50"/>
      <c r="G113" s="50"/>
      <c r="H113" s="50"/>
      <c r="I113" s="50"/>
      <c r="J113" s="50"/>
      <c r="K113" s="50"/>
      <c r="L113" s="50"/>
      <c r="M113" s="50"/>
      <c r="N113" s="50"/>
      <c r="O113" s="50"/>
      <c r="P113" s="50"/>
      <c r="Q113" s="50"/>
      <c r="R113" s="50"/>
      <c r="S113" s="50"/>
      <c r="T113" s="379"/>
      <c r="U113" s="379"/>
      <c r="V113" s="379"/>
      <c r="W113" s="379"/>
      <c r="X113" s="379"/>
      <c r="Y113" s="379"/>
      <c r="Z113" s="379"/>
      <c r="AB113" s="379"/>
      <c r="AC113" s="379"/>
      <c r="AD113" s="379"/>
      <c r="AE113" s="379"/>
      <c r="AF113" s="379"/>
      <c r="AG113" s="379"/>
      <c r="AH113" s="379"/>
      <c r="AI113" s="379"/>
      <c r="AK113" s="379"/>
      <c r="AL113" s="379"/>
      <c r="AM113" s="379"/>
      <c r="AN113" s="379"/>
      <c r="AO113" s="379"/>
      <c r="AP113" s="379"/>
      <c r="AQ113" s="379"/>
      <c r="AR113" s="379"/>
    </row>
    <row r="114" spans="2:44" ht="15" customHeight="1" x14ac:dyDescent="0.25">
      <c r="B114" s="18" t="s">
        <v>127</v>
      </c>
      <c r="C114" s="18"/>
      <c r="D114" s="18"/>
      <c r="E114" s="18"/>
      <c r="F114" s="18"/>
      <c r="G114" s="18"/>
      <c r="H114" s="18"/>
      <c r="I114" s="18"/>
      <c r="J114" s="18"/>
      <c r="K114" s="18"/>
      <c r="L114" s="18"/>
      <c r="M114" s="18"/>
      <c r="N114" s="18"/>
      <c r="O114" s="18"/>
      <c r="P114" s="18"/>
      <c r="Q114" s="18"/>
      <c r="R114" s="18"/>
      <c r="S114" s="18"/>
      <c r="T114" s="356">
        <v>226307.95253800001</v>
      </c>
      <c r="U114" s="356">
        <v>226822.67702099998</v>
      </c>
      <c r="V114" s="356">
        <v>228349.13084600001</v>
      </c>
      <c r="W114" s="356">
        <v>230675.76</v>
      </c>
      <c r="X114" s="356">
        <f>'Operating Data'!X123</f>
        <v>232089.07</v>
      </c>
      <c r="Y114" s="356">
        <f>AE114</f>
        <v>234668.49000000002</v>
      </c>
      <c r="Z114" s="356"/>
      <c r="AB114" s="356">
        <f>'Operating Data'!AB123</f>
        <v>232328.33979900001</v>
      </c>
      <c r="AC114" s="356">
        <f>'Operating Data'!AC123</f>
        <v>232405.74749599997</v>
      </c>
      <c r="AD114" s="356">
        <f>'Operating Data'!AD123</f>
        <v>233374.68000000002</v>
      </c>
      <c r="AE114" s="356">
        <f>'Operating Data'!AE123</f>
        <v>234668.49000000002</v>
      </c>
      <c r="AF114" s="356">
        <f>'Operating Data'!AF123</f>
        <v>234773.65</v>
      </c>
      <c r="AG114" s="356"/>
      <c r="AH114" s="356"/>
      <c r="AI114" s="356"/>
      <c r="AK114" s="356"/>
      <c r="AL114" s="356"/>
      <c r="AM114" s="356"/>
      <c r="AN114" s="356"/>
      <c r="AO114" s="356"/>
      <c r="AP114" s="356"/>
      <c r="AQ114" s="356"/>
      <c r="AR114" s="356"/>
    </row>
    <row r="115" spans="2:44" ht="15" customHeight="1" x14ac:dyDescent="0.25">
      <c r="B115" s="18" t="s">
        <v>128</v>
      </c>
      <c r="C115" s="18"/>
      <c r="D115" s="18"/>
      <c r="E115" s="18"/>
      <c r="F115" s="18"/>
      <c r="G115" s="18"/>
      <c r="H115" s="18"/>
      <c r="I115" s="18"/>
      <c r="J115" s="18"/>
      <c r="K115" s="18"/>
      <c r="L115" s="18"/>
      <c r="M115" s="18"/>
      <c r="N115" s="18"/>
      <c r="O115" s="18"/>
      <c r="P115" s="18"/>
      <c r="Q115" s="18"/>
      <c r="R115" s="18"/>
      <c r="S115" s="18"/>
      <c r="T115" s="356">
        <v>19.076000000000001</v>
      </c>
      <c r="U115" s="356">
        <v>22.513999999999999</v>
      </c>
      <c r="V115" s="356">
        <v>27.030999999999999</v>
      </c>
      <c r="W115" s="356">
        <v>34.082000000000001</v>
      </c>
      <c r="X115" s="356">
        <f>'Operating Data'!X130</f>
        <v>39.841999999999999</v>
      </c>
      <c r="Y115" s="356">
        <f>AE115</f>
        <v>58.472999999999999</v>
      </c>
      <c r="Z115" s="356"/>
      <c r="AB115" s="356">
        <f>'Operating Data'!AB130</f>
        <v>44.773000000000003</v>
      </c>
      <c r="AC115" s="356">
        <f>'Operating Data'!AC130</f>
        <v>49.616</v>
      </c>
      <c r="AD115" s="356">
        <f>'Operating Data'!AD130</f>
        <v>49.616</v>
      </c>
      <c r="AE115" s="356">
        <f>'Operating Data'!AE130</f>
        <v>58.472999999999999</v>
      </c>
      <c r="AF115" s="356">
        <f>'Operating Data'!AF130</f>
        <v>62.887</v>
      </c>
      <c r="AG115" s="356"/>
      <c r="AH115" s="356"/>
      <c r="AI115" s="356"/>
      <c r="AK115" s="356"/>
      <c r="AL115" s="356"/>
      <c r="AM115" s="356"/>
      <c r="AN115" s="356"/>
      <c r="AO115" s="356"/>
      <c r="AP115" s="356"/>
      <c r="AQ115" s="356"/>
      <c r="AR115" s="356"/>
    </row>
    <row r="116" spans="2:44" ht="15" customHeight="1" x14ac:dyDescent="0.25">
      <c r="B116" s="18" t="s">
        <v>129</v>
      </c>
      <c r="C116" s="18"/>
      <c r="D116" s="18"/>
      <c r="E116" s="18"/>
      <c r="F116" s="18"/>
      <c r="G116" s="18"/>
      <c r="H116" s="18"/>
      <c r="I116" s="18"/>
      <c r="J116" s="18"/>
      <c r="K116" s="18"/>
      <c r="L116" s="18"/>
      <c r="M116" s="18"/>
      <c r="N116" s="18"/>
      <c r="O116" s="18"/>
      <c r="P116" s="18"/>
      <c r="Q116" s="18"/>
      <c r="R116" s="18"/>
      <c r="S116" s="18"/>
      <c r="T116" s="356">
        <v>1922.991</v>
      </c>
      <c r="U116" s="356">
        <v>2578.1669999999999</v>
      </c>
      <c r="V116" s="356">
        <v>3208.2089999999998</v>
      </c>
      <c r="W116" s="356">
        <v>3983.1039999999998</v>
      </c>
      <c r="X116" s="356">
        <f>'Operating Data'!X134</f>
        <v>4593.9399999999996</v>
      </c>
      <c r="Y116" s="356">
        <f>AE116</f>
        <v>5620.1880000000001</v>
      </c>
      <c r="Z116" s="356"/>
      <c r="AB116" s="356">
        <f>'Operating Data'!AB134</f>
        <v>4854.1869999999999</v>
      </c>
      <c r="AC116" s="356">
        <f>'Operating Data'!AC134</f>
        <v>5110.8779999999997</v>
      </c>
      <c r="AD116" s="356">
        <f>'Operating Data'!AD134</f>
        <v>5365.8720000000003</v>
      </c>
      <c r="AE116" s="356">
        <f>'Operating Data'!AE134</f>
        <v>5620.1880000000001</v>
      </c>
      <c r="AF116" s="356">
        <f>'Operating Data'!AF134</f>
        <v>5883.7049999999999</v>
      </c>
      <c r="AG116" s="356"/>
      <c r="AH116" s="356"/>
      <c r="AI116" s="356"/>
      <c r="AK116" s="356"/>
      <c r="AL116" s="356"/>
      <c r="AM116" s="356"/>
      <c r="AN116" s="356"/>
      <c r="AO116" s="356"/>
      <c r="AP116" s="356"/>
      <c r="AQ116" s="356"/>
      <c r="AR116" s="356"/>
    </row>
    <row r="117" spans="2:44" ht="15" customHeight="1" x14ac:dyDescent="0.25">
      <c r="B117" s="21" t="s">
        <v>142</v>
      </c>
      <c r="C117" s="21"/>
      <c r="D117" s="21"/>
      <c r="E117" s="21"/>
      <c r="F117" s="21"/>
      <c r="G117" s="21"/>
      <c r="H117" s="21"/>
      <c r="I117" s="21"/>
      <c r="J117" s="21"/>
      <c r="K117" s="21"/>
      <c r="L117" s="21"/>
      <c r="M117" s="21"/>
      <c r="N117" s="21"/>
      <c r="O117" s="21"/>
      <c r="P117" s="21"/>
      <c r="Q117" s="21"/>
      <c r="R117" s="21"/>
      <c r="S117" s="21"/>
      <c r="T117" s="380" t="s">
        <v>17</v>
      </c>
      <c r="U117" s="380">
        <v>0.41070893200610825</v>
      </c>
      <c r="V117" s="380">
        <v>0.50903986706166515</v>
      </c>
      <c r="W117" s="380">
        <v>0.62527662234482184</v>
      </c>
      <c r="X117" s="380">
        <f>'Operating Data'!X135</f>
        <v>0.71503025999642933</v>
      </c>
      <c r="Y117" s="380">
        <f>AE117</f>
        <v>0.86672190677376038</v>
      </c>
      <c r="Z117" s="380"/>
      <c r="AB117" s="380">
        <f>'Operating Data'!AB135</f>
        <v>0.75383862076762476</v>
      </c>
      <c r="AC117" s="380">
        <f>'Operating Data'!AC135</f>
        <v>0.79110174266336608</v>
      </c>
      <c r="AD117" s="380">
        <f>'Operating Data'!AD135</f>
        <v>0.82872491468146081</v>
      </c>
      <c r="AE117" s="380">
        <f>'Operating Data'!AE135</f>
        <v>0.86672190677376038</v>
      </c>
      <c r="AF117" s="380">
        <f>'Operating Data'!AF135</f>
        <v>0.9064527450071731</v>
      </c>
      <c r="AG117" s="380"/>
      <c r="AH117" s="380"/>
      <c r="AI117" s="380"/>
      <c r="AK117" s="380"/>
      <c r="AL117" s="356"/>
      <c r="AM117" s="356"/>
      <c r="AN117" s="356"/>
      <c r="AO117" s="356"/>
      <c r="AP117" s="356"/>
      <c r="AQ117" s="356"/>
      <c r="AR117" s="356"/>
    </row>
    <row r="118" spans="2:44" ht="15" customHeight="1" x14ac:dyDescent="0.25">
      <c r="B118" s="21"/>
      <c r="C118" s="21"/>
      <c r="D118" s="21"/>
      <c r="E118" s="21"/>
      <c r="F118" s="21"/>
      <c r="G118" s="21"/>
      <c r="H118" s="21"/>
      <c r="I118" s="21"/>
      <c r="J118" s="21"/>
      <c r="K118" s="21"/>
      <c r="L118" s="21"/>
      <c r="M118" s="21"/>
      <c r="N118" s="21"/>
      <c r="O118" s="21"/>
      <c r="P118" s="21"/>
      <c r="Q118" s="21"/>
      <c r="R118" s="21"/>
      <c r="S118" s="21"/>
      <c r="T118" s="380"/>
      <c r="U118" s="380"/>
      <c r="V118" s="380"/>
      <c r="W118" s="380"/>
      <c r="X118" s="380"/>
      <c r="Y118" s="380"/>
      <c r="Z118" s="380"/>
      <c r="AB118" s="380"/>
      <c r="AC118" s="380"/>
      <c r="AD118" s="380"/>
      <c r="AE118" s="380"/>
      <c r="AF118" s="380"/>
      <c r="AK118" s="380"/>
      <c r="AL118" s="356"/>
      <c r="AM118" s="356"/>
      <c r="AN118" s="356"/>
      <c r="AO118" s="356"/>
      <c r="AP118" s="356"/>
      <c r="AQ118" s="356"/>
      <c r="AR118" s="356"/>
    </row>
    <row r="119" spans="2:44" ht="15" customHeight="1" x14ac:dyDescent="0.25">
      <c r="B119" s="48" t="s">
        <v>130</v>
      </c>
      <c r="C119" s="48"/>
      <c r="D119" s="48"/>
      <c r="E119" s="48"/>
      <c r="F119" s="48"/>
      <c r="G119" s="48"/>
      <c r="H119" s="48"/>
      <c r="I119" s="48"/>
      <c r="J119" s="48"/>
      <c r="K119" s="48"/>
      <c r="L119" s="48"/>
      <c r="M119" s="48"/>
      <c r="N119" s="48"/>
      <c r="O119" s="48"/>
      <c r="P119" s="48"/>
      <c r="Q119" s="48"/>
      <c r="R119" s="48"/>
      <c r="S119" s="48"/>
      <c r="T119" s="355">
        <v>6225.643</v>
      </c>
      <c r="U119" s="355">
        <v>6277.3580000000002</v>
      </c>
      <c r="V119" s="355">
        <v>6302.4709999999995</v>
      </c>
      <c r="W119" s="355">
        <v>6370.1469999999999</v>
      </c>
      <c r="X119" s="355">
        <f>'Operating Data'!X139</f>
        <v>6424.8190000000004</v>
      </c>
      <c r="Y119" s="355">
        <f t="shared" ref="Y119:Y126" si="63">AE119</f>
        <v>6484.4189999999999</v>
      </c>
      <c r="Z119" s="355"/>
      <c r="AB119" s="355">
        <f>'Operating Data'!AB139</f>
        <v>6439.2920000000004</v>
      </c>
      <c r="AC119" s="355">
        <f>'Operating Data'!AC139</f>
        <v>6460.4560000000001</v>
      </c>
      <c r="AD119" s="355">
        <f>'Operating Data'!AD139</f>
        <v>6474.8530000000001</v>
      </c>
      <c r="AE119" s="355">
        <f>'Operating Data'!AE139</f>
        <v>6484.4189999999999</v>
      </c>
      <c r="AF119" s="355">
        <f>'Operating Data'!AF139</f>
        <v>6490.9120000000003</v>
      </c>
      <c r="AG119" s="355"/>
      <c r="AH119" s="355"/>
      <c r="AI119" s="355"/>
      <c r="AK119" s="355"/>
      <c r="AL119" s="355"/>
      <c r="AM119" s="355"/>
      <c r="AN119" s="355"/>
      <c r="AO119" s="355"/>
      <c r="AP119" s="355"/>
      <c r="AQ119" s="355"/>
      <c r="AR119" s="355"/>
    </row>
    <row r="120" spans="2:44" ht="15" customHeight="1" x14ac:dyDescent="0.25">
      <c r="B120" s="158" t="s">
        <v>131</v>
      </c>
      <c r="C120" s="158"/>
      <c r="D120" s="158"/>
      <c r="E120" s="158"/>
      <c r="F120" s="158"/>
      <c r="G120" s="158"/>
      <c r="H120" s="158"/>
      <c r="I120" s="158"/>
      <c r="J120" s="158"/>
      <c r="K120" s="158"/>
      <c r="L120" s="158"/>
      <c r="M120" s="158"/>
      <c r="N120" s="158"/>
      <c r="O120" s="158"/>
      <c r="P120" s="158"/>
      <c r="Q120" s="158"/>
      <c r="R120" s="158"/>
      <c r="S120" s="158"/>
      <c r="T120" s="367" t="s">
        <v>17</v>
      </c>
      <c r="U120" s="367">
        <f>IFERROR(IF(OR(U119/T119-1&gt;2,U119/T119-1&lt;-0.95),"-",U119/T119-1),"-")</f>
        <v>8.3067724892031958E-3</v>
      </c>
      <c r="V120" s="368">
        <f>IFERROR(IF(OR(V119/U119-1&gt;2,V119/U119-1&lt;-0.95),"-",V119/U119-1),"-")</f>
        <v>4.0005683919890345E-3</v>
      </c>
      <c r="W120" s="369">
        <f>IFERROR(IF(OR(W119/V119-1&gt;2,W119/V119-1&lt;-0.95),"-",W119/V119-1),"-")</f>
        <v>1.0738010535867648E-2</v>
      </c>
      <c r="X120" s="369" t="str">
        <f>IFERROR(IF(OR(X119/Q119-1&gt;2,X119/Q119-1&lt;-0.95),"-",X119/Q119-1),"-")</f>
        <v>-</v>
      </c>
      <c r="Y120" s="369" t="str">
        <f t="shared" si="63"/>
        <v>-</v>
      </c>
      <c r="Z120" s="367"/>
      <c r="AB120" s="369" t="str">
        <f>IFERROR(IF(OR(AB119/#REF!-1&gt;2,AB119/#REF!-1&lt;-0.95),"-",AB119/#REF!-1),"-")</f>
        <v>-</v>
      </c>
      <c r="AC120" s="369" t="str">
        <f>IFERROR(IF(OR(AC119/#REF!-1&gt;2,AC119/#REF!-1&lt;-0.95),"-",AC119/#REF!-1),"-")</f>
        <v>-</v>
      </c>
      <c r="AD120" s="369" t="str">
        <f>IFERROR(IF(OR(AD119/#REF!-1&gt;2,AD119/#REF!-1&lt;-0.95),"-",AD119/#REF!-1),"-")</f>
        <v>-</v>
      </c>
      <c r="AE120" s="369" t="str">
        <f>IFERROR(IF(OR(AE119/#REF!-1&gt;2,AE119/#REF!-1&lt;-0.95),"-",AE119/#REF!-1),"-")</f>
        <v>-</v>
      </c>
      <c r="AF120" s="369">
        <f>IFERROR(IF(OR(AF119/AB119-1&gt;2,AF119/AB119-1&lt;-0.95),"-",AF119/AB119-1),"-")</f>
        <v>8.0164092574153134E-3</v>
      </c>
      <c r="AG120" s="369"/>
      <c r="AH120" s="369"/>
      <c r="AI120" s="369"/>
      <c r="AK120" s="367"/>
      <c r="AL120" s="367"/>
      <c r="AM120" s="367"/>
      <c r="AN120" s="367"/>
      <c r="AO120" s="367"/>
      <c r="AP120" s="367"/>
      <c r="AQ120" s="367"/>
      <c r="AR120" s="367"/>
    </row>
    <row r="121" spans="2:44" ht="15" customHeight="1" x14ac:dyDescent="0.25">
      <c r="B121" s="43" t="s">
        <v>143</v>
      </c>
      <c r="C121" s="43"/>
      <c r="D121" s="43"/>
      <c r="E121" s="43"/>
      <c r="F121" s="43"/>
      <c r="G121" s="43"/>
      <c r="H121" s="43"/>
      <c r="I121" s="43"/>
      <c r="J121" s="43"/>
      <c r="K121" s="43"/>
      <c r="L121" s="43"/>
      <c r="M121" s="43"/>
      <c r="N121" s="43"/>
      <c r="O121" s="43"/>
      <c r="P121" s="43"/>
      <c r="Q121" s="43"/>
      <c r="R121" s="43"/>
      <c r="S121" s="43"/>
      <c r="T121" s="356">
        <v>25.100999999999999</v>
      </c>
      <c r="U121" s="356">
        <v>25.411999999999999</v>
      </c>
      <c r="V121" s="356">
        <v>25.489000000000001</v>
      </c>
      <c r="W121" s="356">
        <v>25.945</v>
      </c>
      <c r="X121" s="356">
        <f>'Operating Data'!X140</f>
        <v>26.306000000000001</v>
      </c>
      <c r="Y121" s="356">
        <f t="shared" si="63"/>
        <v>26.541999999999998</v>
      </c>
      <c r="Z121" s="356"/>
      <c r="AA121" s="356"/>
      <c r="AB121" s="356">
        <f>'Operating Data'!AB140</f>
        <v>26.397000000000002</v>
      </c>
      <c r="AC121" s="356">
        <f>'Operating Data'!AC140</f>
        <v>26.315999999999999</v>
      </c>
      <c r="AD121" s="356">
        <f>'Operating Data'!AD140</f>
        <v>26.433</v>
      </c>
      <c r="AE121" s="356">
        <f>'Operating Data'!AE140</f>
        <v>26.541999999999998</v>
      </c>
      <c r="AF121" s="356">
        <f>'Operating Data'!AF140</f>
        <v>26.614999999999998</v>
      </c>
      <c r="AG121" s="356"/>
      <c r="AH121" s="356"/>
      <c r="AI121" s="356"/>
      <c r="AK121" s="356"/>
      <c r="AL121" s="356"/>
      <c r="AM121" s="356"/>
      <c r="AN121" s="356"/>
      <c r="AO121" s="356"/>
      <c r="AP121" s="356"/>
      <c r="AQ121" s="356"/>
      <c r="AR121" s="356"/>
    </row>
    <row r="122" spans="2:44" ht="15" customHeight="1" x14ac:dyDescent="0.25">
      <c r="B122" s="158" t="s">
        <v>131</v>
      </c>
      <c r="C122" s="158"/>
      <c r="D122" s="158"/>
      <c r="E122" s="158"/>
      <c r="F122" s="158"/>
      <c r="G122" s="158"/>
      <c r="H122" s="158"/>
      <c r="I122" s="158"/>
      <c r="J122" s="158"/>
      <c r="K122" s="158"/>
      <c r="L122" s="158"/>
      <c r="M122" s="158"/>
      <c r="N122" s="158"/>
      <c r="O122" s="158"/>
      <c r="P122" s="158"/>
      <c r="Q122" s="158"/>
      <c r="R122" s="158"/>
      <c r="S122" s="158"/>
      <c r="T122" s="367" t="s">
        <v>17</v>
      </c>
      <c r="U122" s="367">
        <f>IFERROR(IF(OR(U121/T121-1&gt;2,U121/T121-1&lt;-0.95),"-",U121/T121-1),"-")</f>
        <v>1.2389944623720117E-2</v>
      </c>
      <c r="V122" s="368">
        <f>IFERROR(IF(OR(V121/U121-1&gt;2,V121/U121-1&lt;-0.95),"-",V121/U121-1),"-")</f>
        <v>3.0300645364396139E-3</v>
      </c>
      <c r="W122" s="369">
        <f>IFERROR(IF(OR(W121/V121-1&gt;2,W121/V121-1&lt;-0.95),"-",W121/V121-1),"-")</f>
        <v>1.7890070226372234E-2</v>
      </c>
      <c r="X122" s="369" t="str">
        <f>IFERROR(IF(OR(X121/Q121-1&gt;2,X121/Q121-1&lt;-0.95),"-",X121/Q121-1),"-")</f>
        <v>-</v>
      </c>
      <c r="Y122" s="369" t="str">
        <f t="shared" si="63"/>
        <v>-</v>
      </c>
      <c r="Z122" s="367"/>
      <c r="AB122" s="369" t="str">
        <f>IFERROR(IF(OR(AB121/#REF!-1&gt;2,AB121/#REF!-1&lt;-0.95),"-",AB121/#REF!-1),"-")</f>
        <v>-</v>
      </c>
      <c r="AC122" s="369" t="str">
        <f>IFERROR(IF(OR(AC121/#REF!-1&gt;2,AC121/#REF!-1&lt;-0.95),"-",AC121/#REF!-1),"-")</f>
        <v>-</v>
      </c>
      <c r="AD122" s="369" t="str">
        <f>IFERROR(IF(OR(AD121/#REF!-1&gt;2,AD121/#REF!-1&lt;-0.95),"-",AD121/#REF!-1),"-")</f>
        <v>-</v>
      </c>
      <c r="AE122" s="369" t="str">
        <f>IFERROR(IF(OR(AE121/#REF!-1&gt;2,AE121/#REF!-1&lt;-0.95),"-",AE121/#REF!-1),"-")</f>
        <v>-</v>
      </c>
      <c r="AF122" s="369">
        <f>IFERROR(IF(OR(AF121/AB121-1&gt;2,AF121/AB121-1&lt;-0.95),"-",AF121/AB121-1),"-")</f>
        <v>8.2585142251012655E-3</v>
      </c>
      <c r="AG122" s="369"/>
      <c r="AH122" s="369"/>
      <c r="AI122" s="369"/>
      <c r="AK122" s="367"/>
      <c r="AL122" s="367"/>
      <c r="AM122" s="367"/>
      <c r="AN122" s="367"/>
      <c r="AO122" s="367"/>
      <c r="AP122" s="367"/>
      <c r="AQ122" s="367"/>
      <c r="AR122" s="367"/>
    </row>
    <row r="123" spans="2:44" ht="15" customHeight="1" x14ac:dyDescent="0.25">
      <c r="B123" s="43" t="s">
        <v>144</v>
      </c>
      <c r="C123" s="43"/>
      <c r="D123" s="43"/>
      <c r="E123" s="43"/>
      <c r="F123" s="43"/>
      <c r="G123" s="43"/>
      <c r="H123" s="43"/>
      <c r="I123" s="43"/>
      <c r="J123" s="43"/>
      <c r="K123" s="43"/>
      <c r="L123" s="43"/>
      <c r="M123" s="43"/>
      <c r="N123" s="43"/>
      <c r="O123" s="43"/>
      <c r="P123" s="43"/>
      <c r="Q123" s="43"/>
      <c r="R123" s="43"/>
      <c r="S123" s="43"/>
      <c r="T123" s="356">
        <v>36.453000000000003</v>
      </c>
      <c r="U123" s="356">
        <v>37.143999999999998</v>
      </c>
      <c r="V123" s="356">
        <v>37.514000000000003</v>
      </c>
      <c r="W123" s="356">
        <v>38.401000000000003</v>
      </c>
      <c r="X123" s="356">
        <f>'Operating Data'!X141</f>
        <v>39.033999999999999</v>
      </c>
      <c r="Y123" s="356">
        <f t="shared" si="63"/>
        <v>39.987000000000002</v>
      </c>
      <c r="Z123" s="356"/>
      <c r="AA123" s="356"/>
      <c r="AB123" s="356">
        <f>'Operating Data'!AB141</f>
        <v>39.139000000000003</v>
      </c>
      <c r="AC123" s="356">
        <f>'Operating Data'!AC141</f>
        <v>39.524000000000001</v>
      </c>
      <c r="AD123" s="356">
        <f>'Operating Data'!AD141</f>
        <v>39.738999999999997</v>
      </c>
      <c r="AE123" s="356">
        <f>'Operating Data'!AE141</f>
        <v>39.987000000000002</v>
      </c>
      <c r="AF123" s="356">
        <f>'Operating Data'!AF141</f>
        <v>40.159999999999997</v>
      </c>
      <c r="AG123" s="356"/>
      <c r="AH123" s="356"/>
      <c r="AI123" s="356"/>
      <c r="AK123" s="356"/>
      <c r="AL123" s="356"/>
      <c r="AM123" s="356"/>
      <c r="AN123" s="356"/>
      <c r="AO123" s="356"/>
      <c r="AP123" s="356"/>
      <c r="AQ123" s="356"/>
      <c r="AR123" s="356"/>
    </row>
    <row r="124" spans="2:44" ht="15" customHeight="1" x14ac:dyDescent="0.25">
      <c r="B124" s="158" t="s">
        <v>131</v>
      </c>
      <c r="C124" s="158"/>
      <c r="D124" s="158"/>
      <c r="E124" s="158"/>
      <c r="F124" s="158"/>
      <c r="G124" s="158"/>
      <c r="H124" s="158"/>
      <c r="I124" s="158"/>
      <c r="J124" s="158"/>
      <c r="K124" s="158"/>
      <c r="L124" s="158"/>
      <c r="M124" s="158"/>
      <c r="N124" s="158"/>
      <c r="O124" s="158"/>
      <c r="P124" s="158"/>
      <c r="Q124" s="158"/>
      <c r="R124" s="158"/>
      <c r="S124" s="158"/>
      <c r="T124" s="367" t="s">
        <v>17</v>
      </c>
      <c r="U124" s="367">
        <f>IFERROR(IF(OR(U123/T123-1&gt;2,U123/T123-1&lt;-0.95),"-",U123/T123-1),"-")</f>
        <v>1.8955915836830872E-2</v>
      </c>
      <c r="V124" s="368">
        <f>IFERROR(IF(OR(V123/U123-1&gt;2,V123/U123-1&lt;-0.95),"-",V123/U123-1),"-")</f>
        <v>9.9612319620936418E-3</v>
      </c>
      <c r="W124" s="369">
        <f>IFERROR(IF(OR(W123/V123-1&gt;2,W123/V123-1&lt;-0.95),"-",W123/V123-1),"-")</f>
        <v>2.3644506051074377E-2</v>
      </c>
      <c r="X124" s="369" t="str">
        <f>IFERROR(IF(OR(X123/Q123-1&gt;2,X123/Q123-1&lt;-0.95),"-",X123/Q123-1),"-")</f>
        <v>-</v>
      </c>
      <c r="Y124" s="369" t="str">
        <f t="shared" si="63"/>
        <v>-</v>
      </c>
      <c r="Z124" s="367"/>
      <c r="AB124" s="369" t="str">
        <f>IFERROR(IF(OR(AB123/#REF!-1&gt;2,AB123/#REF!-1&lt;-0.95),"-",AB123/#REF!-1),"-")</f>
        <v>-</v>
      </c>
      <c r="AC124" s="369" t="str">
        <f>IFERROR(IF(OR(AC123/#REF!-1&gt;2,AC123/#REF!-1&lt;-0.95),"-",AC123/#REF!-1),"-")</f>
        <v>-</v>
      </c>
      <c r="AD124" s="369" t="str">
        <f>IFERROR(IF(OR(AD123/#REF!-1&gt;2,AD123/#REF!-1&lt;-0.95),"-",AD123/#REF!-1),"-")</f>
        <v>-</v>
      </c>
      <c r="AE124" s="369" t="str">
        <f>IFERROR(IF(OR(AE123/#REF!-1&gt;2,AE123/#REF!-1&lt;-0.95),"-",AE123/#REF!-1),"-")</f>
        <v>-</v>
      </c>
      <c r="AF124" s="369">
        <f>IFERROR(IF(OR(AF123/AB123-1&gt;2,AF123/AB123-1&lt;-0.95),"-",AF123/AB123-1),"-")</f>
        <v>2.6086512174557264E-2</v>
      </c>
      <c r="AG124" s="369"/>
      <c r="AH124" s="369"/>
      <c r="AI124" s="369"/>
      <c r="AK124" s="367"/>
      <c r="AL124" s="367"/>
      <c r="AM124" s="367"/>
      <c r="AN124" s="367"/>
      <c r="AO124" s="367"/>
      <c r="AP124" s="367"/>
      <c r="AQ124" s="367"/>
      <c r="AR124" s="367"/>
    </row>
    <row r="125" spans="2:44" ht="15" customHeight="1" x14ac:dyDescent="0.25">
      <c r="B125" s="43" t="s">
        <v>141</v>
      </c>
      <c r="C125" s="43"/>
      <c r="D125" s="43"/>
      <c r="E125" s="43"/>
      <c r="F125" s="43"/>
      <c r="G125" s="43"/>
      <c r="H125" s="43"/>
      <c r="I125" s="43"/>
      <c r="J125" s="43"/>
      <c r="K125" s="43"/>
      <c r="L125" s="43"/>
      <c r="M125" s="43"/>
      <c r="N125" s="43"/>
      <c r="O125" s="43"/>
      <c r="P125" s="43"/>
      <c r="Q125" s="43"/>
      <c r="R125" s="43"/>
      <c r="S125" s="43"/>
      <c r="T125" s="356">
        <v>6164.0889999999999</v>
      </c>
      <c r="U125" s="356">
        <v>6214.8019999999997</v>
      </c>
      <c r="V125" s="356">
        <v>6239.4679999999998</v>
      </c>
      <c r="W125" s="356">
        <v>6305.8010000000004</v>
      </c>
      <c r="X125" s="356">
        <f>'Operating Data'!X142</f>
        <v>6359.4790000000003</v>
      </c>
      <c r="Y125" s="356">
        <f t="shared" si="63"/>
        <v>6417.89</v>
      </c>
      <c r="Z125" s="356"/>
      <c r="AA125" s="356"/>
      <c r="AB125" s="356">
        <f>'Operating Data'!AB142</f>
        <v>6373.7560000000003</v>
      </c>
      <c r="AC125" s="356">
        <f>'Operating Data'!AC142</f>
        <v>6394.616</v>
      </c>
      <c r="AD125" s="356">
        <f>'Operating Data'!AD142</f>
        <v>6408.6809999999996</v>
      </c>
      <c r="AE125" s="356">
        <f>'Operating Data'!AE142</f>
        <v>6417.89</v>
      </c>
      <c r="AF125" s="356">
        <f>'Operating Data'!AF142</f>
        <v>6424.1369999999997</v>
      </c>
      <c r="AG125" s="356"/>
      <c r="AH125" s="356"/>
      <c r="AI125" s="356"/>
      <c r="AK125" s="356"/>
      <c r="AL125" s="356"/>
      <c r="AM125" s="356"/>
      <c r="AN125" s="356"/>
      <c r="AO125" s="356"/>
      <c r="AP125" s="356"/>
      <c r="AQ125" s="356"/>
      <c r="AR125" s="356"/>
    </row>
    <row r="126" spans="2:44" ht="15" customHeight="1" x14ac:dyDescent="0.25">
      <c r="B126" s="158" t="s">
        <v>131</v>
      </c>
      <c r="C126" s="158"/>
      <c r="D126" s="158"/>
      <c r="E126" s="158"/>
      <c r="F126" s="158"/>
      <c r="G126" s="158"/>
      <c r="H126" s="158"/>
      <c r="I126" s="158"/>
      <c r="J126" s="158"/>
      <c r="K126" s="158"/>
      <c r="L126" s="158"/>
      <c r="M126" s="158"/>
      <c r="N126" s="158"/>
      <c r="O126" s="158"/>
      <c r="P126" s="158"/>
      <c r="Q126" s="158"/>
      <c r="R126" s="158"/>
      <c r="S126" s="158"/>
      <c r="T126" s="367" t="s">
        <v>17</v>
      </c>
      <c r="U126" s="367">
        <f>IFERROR(IF(OR(U125/T125-1&gt;2,U125/T125-1&lt;-0.95),"-",U125/T125-1),"-")</f>
        <v>8.2271686862405158E-3</v>
      </c>
      <c r="V126" s="368">
        <f>IFERROR(IF(OR(V125/U125-1&gt;2,V125/U125-1&lt;-0.95),"-",V125/U125-1),"-")</f>
        <v>3.9689116403065494E-3</v>
      </c>
      <c r="W126" s="369">
        <f>IFERROR(IF(OR(W125/V125-1&gt;2,W125/V125-1&lt;-0.95),"-",W125/V125-1),"-")</f>
        <v>1.0631194839047176E-2</v>
      </c>
      <c r="X126" s="369" t="str">
        <f>IFERROR(IF(OR(X125/Q125-1&gt;2,X125/Q125-1&lt;-0.95),"-",X125/Q125-1),"-")</f>
        <v>-</v>
      </c>
      <c r="Y126" s="369" t="str">
        <f t="shared" si="63"/>
        <v>-</v>
      </c>
      <c r="Z126" s="367"/>
      <c r="AB126" s="369" t="str">
        <f>IFERROR(IF(OR(AB125/#REF!-1&gt;2,AB125/#REF!-1&lt;-0.95),"-",AB125/#REF!-1),"-")</f>
        <v>-</v>
      </c>
      <c r="AC126" s="369" t="str">
        <f>IFERROR(IF(OR(AC125/#REF!-1&gt;2,AC125/#REF!-1&lt;-0.95),"-",AC125/#REF!-1),"-")</f>
        <v>-</v>
      </c>
      <c r="AD126" s="369" t="str">
        <f>IFERROR(IF(OR(AD125/#REF!-1&gt;2,AD125/#REF!-1&lt;-0.95),"-",AD125/#REF!-1),"-")</f>
        <v>-</v>
      </c>
      <c r="AE126" s="369" t="str">
        <f>IFERROR(IF(OR(AE125/#REF!-1&gt;2,AE125/#REF!-1&lt;-0.95),"-",AE125/#REF!-1),"-")</f>
        <v>-</v>
      </c>
      <c r="AF126" s="369">
        <f>IFERROR(IF(OR(AF125/AB125-1&gt;2,AF125/AB125-1&lt;-0.95),"-",AF125/AB125-1),"-")</f>
        <v>7.9044444123683721E-3</v>
      </c>
      <c r="AG126" s="369"/>
      <c r="AH126" s="369"/>
      <c r="AI126" s="369"/>
      <c r="AK126" s="367"/>
      <c r="AL126" s="367"/>
      <c r="AM126" s="367"/>
      <c r="AN126" s="367"/>
      <c r="AO126" s="367"/>
      <c r="AP126" s="367"/>
      <c r="AQ126" s="367"/>
      <c r="AR126" s="367"/>
    </row>
    <row r="127" spans="2:44" ht="15" customHeight="1" x14ac:dyDescent="0.25">
      <c r="B127" s="21"/>
      <c r="C127" s="21"/>
      <c r="D127" s="21"/>
      <c r="E127" s="21"/>
      <c r="F127" s="21"/>
      <c r="G127" s="21"/>
      <c r="H127" s="21"/>
      <c r="I127" s="21"/>
      <c r="J127" s="21"/>
      <c r="K127" s="21"/>
      <c r="L127" s="21"/>
      <c r="M127" s="21"/>
      <c r="N127" s="21"/>
      <c r="O127" s="21"/>
      <c r="P127" s="21"/>
      <c r="Q127" s="21"/>
      <c r="R127" s="21"/>
      <c r="S127" s="21"/>
      <c r="T127" s="380"/>
      <c r="U127" s="380"/>
      <c r="V127" s="380"/>
      <c r="W127" s="380"/>
      <c r="X127" s="380"/>
      <c r="Y127" s="380"/>
      <c r="Z127" s="380"/>
      <c r="AB127" s="380"/>
      <c r="AC127" s="380"/>
      <c r="AD127" s="380"/>
      <c r="AE127" s="380"/>
      <c r="AF127" s="380"/>
      <c r="AK127" s="380"/>
      <c r="AL127" s="356"/>
      <c r="AM127" s="356"/>
      <c r="AN127" s="356"/>
      <c r="AO127" s="356"/>
      <c r="AP127" s="356"/>
      <c r="AQ127" s="356"/>
      <c r="AR127" s="356"/>
    </row>
    <row r="128" spans="2:44" ht="15" customHeight="1" x14ac:dyDescent="0.25">
      <c r="B128" s="32" t="s">
        <v>145</v>
      </c>
      <c r="C128" s="32"/>
      <c r="D128" s="32"/>
      <c r="E128" s="32"/>
      <c r="F128" s="32"/>
      <c r="G128" s="32"/>
      <c r="H128" s="32"/>
      <c r="I128" s="32"/>
      <c r="J128" s="32"/>
      <c r="K128" s="32"/>
      <c r="L128" s="32"/>
      <c r="M128" s="32"/>
      <c r="N128" s="32"/>
      <c r="O128" s="32"/>
      <c r="P128" s="32"/>
      <c r="Q128" s="32"/>
      <c r="R128" s="32"/>
      <c r="S128" s="32"/>
      <c r="T128" s="380"/>
      <c r="U128" s="380"/>
      <c r="V128" s="380"/>
      <c r="W128" s="380"/>
      <c r="X128" s="380"/>
      <c r="Y128" s="380"/>
      <c r="Z128" s="380"/>
      <c r="AB128" s="380"/>
      <c r="AC128" s="380"/>
      <c r="AD128" s="380"/>
      <c r="AE128" s="380"/>
      <c r="AF128" s="380"/>
      <c r="AK128" s="380"/>
      <c r="AL128" s="356"/>
      <c r="AM128" s="356"/>
      <c r="AN128" s="356"/>
      <c r="AO128" s="356"/>
      <c r="AP128" s="356"/>
      <c r="AQ128" s="356"/>
      <c r="AR128" s="356"/>
    </row>
    <row r="129" spans="1:52" ht="15" customHeight="1" x14ac:dyDescent="0.25">
      <c r="B129" s="18" t="s">
        <v>249</v>
      </c>
      <c r="C129" s="18"/>
      <c r="D129" s="18"/>
      <c r="E129" s="18"/>
      <c r="F129" s="18"/>
      <c r="G129" s="18"/>
      <c r="H129" s="18"/>
      <c r="I129" s="18"/>
      <c r="J129" s="18"/>
      <c r="K129" s="18"/>
      <c r="L129" s="18"/>
      <c r="M129" s="18"/>
      <c r="N129" s="18"/>
      <c r="O129" s="18"/>
      <c r="P129" s="18"/>
      <c r="Q129" s="18"/>
      <c r="R129" s="18"/>
      <c r="S129" s="18"/>
      <c r="T129" s="381">
        <v>9.6231683603606497E-2</v>
      </c>
      <c r="U129" s="381">
        <v>9.5697113725658325E-2</v>
      </c>
      <c r="V129" s="381" vm="58">
        <v>8.9593000000000006E-2</v>
      </c>
      <c r="W129" s="381" vm="8">
        <v>8.6474058039558183E-2</v>
      </c>
      <c r="X129" s="381" vm="328">
        <f>'Operating Data'!X156</f>
        <v>8.7388559718589803E-2</v>
      </c>
      <c r="Y129" s="381" vm="279">
        <f>+AE129</f>
        <v>7.8277224521243693E-2</v>
      </c>
      <c r="Z129" s="381"/>
      <c r="AA129" s="381"/>
      <c r="AB129" s="381">
        <f>'Operating Data'!AB156</f>
        <v>0.08</v>
      </c>
      <c r="AC129" s="381" vm="446">
        <f>'Operating Data'!AC156</f>
        <v>7.6883360667184292E-2</v>
      </c>
      <c r="AD129" s="381" vm="212">
        <f>'Operating Data'!AD156</f>
        <v>7.7247092658812896E-2</v>
      </c>
      <c r="AE129" s="381" vm="279">
        <f>'Operating Data'!AE156</f>
        <v>7.8277224521243693E-2</v>
      </c>
      <c r="AF129" s="381" vm="480">
        <f>'Operating Data'!AF156</f>
        <v>7.9112455641438706E-2</v>
      </c>
      <c r="AG129" s="381"/>
      <c r="AH129" s="381"/>
      <c r="AI129" s="381"/>
      <c r="AK129" s="381"/>
      <c r="AL129" s="356"/>
      <c r="AM129" s="356"/>
      <c r="AN129" s="356"/>
      <c r="AO129" s="356"/>
      <c r="AP129" s="356"/>
      <c r="AQ129" s="356"/>
      <c r="AR129" s="356"/>
    </row>
    <row r="130" spans="1:52" ht="15" customHeight="1" x14ac:dyDescent="0.25">
      <c r="B130" s="18" t="s">
        <v>137</v>
      </c>
      <c r="C130" s="18"/>
      <c r="D130" s="18"/>
      <c r="E130" s="18"/>
      <c r="F130" s="18"/>
      <c r="G130" s="18"/>
      <c r="H130" s="18"/>
      <c r="I130" s="18"/>
      <c r="J130" s="18"/>
      <c r="K130" s="18"/>
      <c r="L130" s="18"/>
      <c r="M130" s="18"/>
      <c r="N130" s="18"/>
      <c r="O130" s="18"/>
      <c r="P130" s="18"/>
      <c r="Q130" s="18"/>
      <c r="R130" s="18"/>
      <c r="S130" s="18"/>
      <c r="T130" s="381" t="s">
        <v>17</v>
      </c>
      <c r="U130" s="381">
        <v>0.44067396063479503</v>
      </c>
      <c r="V130" s="381">
        <v>0.50110527961179119</v>
      </c>
      <c r="W130" s="381">
        <v>0.58372286945025675</v>
      </c>
      <c r="X130" s="381">
        <f>'Operating Data'!X167</f>
        <v>0.5794447180992538</v>
      </c>
      <c r="Y130" s="381">
        <f>+AE130</f>
        <v>0.65457420919841192</v>
      </c>
      <c r="Z130" s="381"/>
      <c r="AA130" s="381"/>
      <c r="AB130" s="381">
        <f>'Operating Data'!AB167</f>
        <v>0.62021412027300615</v>
      </c>
      <c r="AC130" s="381">
        <f>'Operating Data'!AC167</f>
        <v>0.64766305290094472</v>
      </c>
      <c r="AD130" s="381">
        <f>'Operating Data'!AD167</f>
        <v>0.64998375088429583</v>
      </c>
      <c r="AE130" s="381">
        <f>'Operating Data'!AE167</f>
        <v>0.65457420919841192</v>
      </c>
      <c r="AF130" s="381">
        <f>'Operating Data'!AF167</f>
        <v>0.69666508236752023</v>
      </c>
      <c r="AG130" s="381"/>
      <c r="AH130" s="381"/>
      <c r="AI130" s="381"/>
      <c r="AK130" s="381"/>
      <c r="AL130" s="356"/>
      <c r="AM130" s="356"/>
      <c r="AN130" s="356"/>
      <c r="AO130" s="356"/>
      <c r="AP130" s="356"/>
      <c r="AQ130" s="356"/>
      <c r="AR130" s="356"/>
    </row>
    <row r="131" spans="1:52" ht="15" customHeight="1" x14ac:dyDescent="0.25">
      <c r="B131" s="159" t="s">
        <v>138</v>
      </c>
      <c r="C131" s="159"/>
      <c r="D131" s="159"/>
      <c r="E131" s="159"/>
      <c r="F131" s="159"/>
      <c r="G131" s="159"/>
      <c r="H131" s="159"/>
      <c r="I131" s="159"/>
      <c r="J131" s="159"/>
      <c r="K131" s="159"/>
      <c r="L131" s="159"/>
      <c r="M131" s="159"/>
      <c r="N131" s="159"/>
      <c r="O131" s="159"/>
      <c r="P131" s="159"/>
      <c r="Q131" s="159"/>
      <c r="R131" s="159"/>
      <c r="S131" s="159"/>
      <c r="T131" s="381">
        <v>0.69</v>
      </c>
      <c r="U131" s="381">
        <v>0.72888082245845032</v>
      </c>
      <c r="V131" s="381">
        <v>0.74532180354008692</v>
      </c>
      <c r="W131" s="381">
        <v>0.76559596362231641</v>
      </c>
      <c r="X131" s="381">
        <f>'Operating Data'!X171</f>
        <v>0.82881341452432422</v>
      </c>
      <c r="Y131" s="381">
        <f>+AE131</f>
        <v>0.88133662993928941</v>
      </c>
      <c r="Z131" s="381"/>
      <c r="AA131" s="381"/>
      <c r="AB131" s="381">
        <f>'Operating Data'!AB171</f>
        <v>0.84418641228133884</v>
      </c>
      <c r="AC131" s="381">
        <f>'Operating Data'!AC171</f>
        <v>0.86210449981500115</v>
      </c>
      <c r="AD131" s="381">
        <f>'Operating Data'!AD171</f>
        <v>0.86210449981500115</v>
      </c>
      <c r="AE131" s="381">
        <f>'Operating Data'!AE171</f>
        <v>0.88133662993928941</v>
      </c>
      <c r="AF131" s="381">
        <f>'Operating Data'!AF171</f>
        <v>0.92237302121335119</v>
      </c>
      <c r="AG131" s="381"/>
      <c r="AH131" s="381"/>
      <c r="AI131" s="381"/>
      <c r="AJ131" s="354"/>
      <c r="AK131" s="381"/>
      <c r="AL131" s="356"/>
      <c r="AM131" s="356"/>
      <c r="AN131" s="356"/>
      <c r="AO131" s="356"/>
      <c r="AP131" s="356"/>
      <c r="AQ131" s="356"/>
      <c r="AR131" s="356"/>
      <c r="AS131" s="354"/>
      <c r="AT131" s="354"/>
      <c r="AU131" s="354"/>
      <c r="AV131" s="354"/>
      <c r="AW131" s="354"/>
      <c r="AX131" s="354"/>
      <c r="AY131" s="354"/>
      <c r="AZ131" s="78"/>
    </row>
    <row r="132" spans="1:52" ht="15" customHeight="1" x14ac:dyDescent="0.25">
      <c r="B132" s="48"/>
      <c r="C132" s="48"/>
      <c r="D132" s="48"/>
      <c r="E132" s="48"/>
      <c r="F132" s="48"/>
      <c r="G132" s="48"/>
      <c r="H132" s="48"/>
      <c r="I132" s="48"/>
      <c r="J132" s="48"/>
      <c r="K132" s="48"/>
      <c r="L132" s="48"/>
      <c r="M132" s="48"/>
      <c r="N132" s="48"/>
      <c r="O132" s="48"/>
      <c r="P132" s="48"/>
      <c r="Q132" s="48"/>
      <c r="R132" s="48"/>
      <c r="S132" s="48"/>
      <c r="AA132" s="354"/>
      <c r="AJ132" s="354"/>
      <c r="AS132" s="354"/>
      <c r="AT132" s="354"/>
      <c r="AU132" s="354"/>
      <c r="AV132" s="354"/>
      <c r="AW132" s="354"/>
      <c r="AX132" s="354"/>
      <c r="AY132" s="354"/>
      <c r="AZ132" s="78"/>
    </row>
    <row r="133" spans="1:52" ht="15" customHeight="1" x14ac:dyDescent="0.25">
      <c r="B133" s="48" t="s">
        <v>139</v>
      </c>
      <c r="C133" s="48"/>
      <c r="D133" s="48"/>
      <c r="E133" s="48"/>
      <c r="F133" s="48"/>
      <c r="G133" s="48"/>
      <c r="H133" s="48"/>
      <c r="I133" s="48"/>
      <c r="J133" s="48"/>
      <c r="K133" s="48"/>
      <c r="L133" s="48"/>
      <c r="M133" s="48"/>
      <c r="N133" s="48"/>
      <c r="O133" s="48"/>
      <c r="P133" s="48"/>
      <c r="Q133" s="48"/>
      <c r="R133" s="48"/>
      <c r="S133" s="48"/>
      <c r="T133" s="382">
        <v>46058.884367194987</v>
      </c>
      <c r="U133" s="382">
        <v>45666.473784279187</v>
      </c>
      <c r="V133" s="382">
        <v>44142.807206436002</v>
      </c>
      <c r="W133" s="382">
        <v>44752.004502915996</v>
      </c>
      <c r="X133" s="382">
        <f>'Operating Data'!X175</f>
        <v>45494.451231786996</v>
      </c>
      <c r="Y133" s="382">
        <f t="shared" ref="Y133:Y140" si="64">+AE133</f>
        <v>45977.877195959009</v>
      </c>
      <c r="Z133" s="382"/>
      <c r="AA133" s="382"/>
      <c r="AB133" s="382">
        <f>'Operating Data'!AB175</f>
        <v>12179.237888537</v>
      </c>
      <c r="AC133" s="382">
        <f>'Operating Data'!AC175</f>
        <v>22922.136772900001</v>
      </c>
      <c r="AD133" s="382">
        <f>'Operating Data'!AD175</f>
        <v>34140.557012088</v>
      </c>
      <c r="AE133" s="382">
        <f>'Operating Data'!AE175</f>
        <v>45977.877195959009</v>
      </c>
      <c r="AF133" s="382">
        <f>'Operating Data'!AF175</f>
        <v>12284.682515649001</v>
      </c>
      <c r="AG133" s="382"/>
      <c r="AH133" s="382"/>
      <c r="AI133" s="382"/>
      <c r="AJ133" s="354"/>
      <c r="AK133" s="382"/>
      <c r="AL133" s="382"/>
      <c r="AM133" s="382"/>
      <c r="AN133" s="382"/>
      <c r="AO133" s="382"/>
      <c r="AP133" s="382"/>
      <c r="AQ133" s="382"/>
      <c r="AR133" s="382"/>
      <c r="AS133" s="354"/>
      <c r="AT133" s="354"/>
      <c r="AU133" s="354"/>
      <c r="AV133" s="354"/>
      <c r="AW133" s="354"/>
      <c r="AX133" s="354"/>
      <c r="AY133" s="354"/>
      <c r="AZ133" s="78"/>
    </row>
    <row r="134" spans="1:52" ht="15" customHeight="1" x14ac:dyDescent="0.25">
      <c r="B134" s="158" t="s">
        <v>131</v>
      </c>
      <c r="C134" s="158"/>
      <c r="D134" s="158"/>
      <c r="E134" s="158"/>
      <c r="F134" s="158"/>
      <c r="G134" s="158"/>
      <c r="H134" s="158"/>
      <c r="I134" s="158"/>
      <c r="J134" s="158"/>
      <c r="K134" s="158"/>
      <c r="L134" s="158"/>
      <c r="M134" s="158"/>
      <c r="N134" s="158"/>
      <c r="O134" s="158"/>
      <c r="P134" s="158"/>
      <c r="Q134" s="158"/>
      <c r="R134" s="158"/>
      <c r="S134" s="158"/>
      <c r="T134" s="367" t="s">
        <v>17</v>
      </c>
      <c r="U134" s="367">
        <f>IFERROR(IF(OR(U133/T133-1&gt;2,U133/T133-1&lt;-0.95),"-",U133/T133-1),"-")</f>
        <v>-8.51975874594324E-3</v>
      </c>
      <c r="V134" s="368">
        <f>IFERROR(IF(OR(V133/U133-1&gt;2,V133/U133-1&lt;-0.95),"-",V133/U133-1),"-")</f>
        <v>-3.3365102482857179E-2</v>
      </c>
      <c r="W134" s="369">
        <f>IFERROR(IF(OR(W133/V133-1&gt;2,W133/V133-1&lt;-0.95),"-",W133/V133-1),"-")</f>
        <v>1.38006016162735E-2</v>
      </c>
      <c r="X134" s="369" t="str">
        <f>IFERROR(IF(OR(X133/Q133-1&gt;2,X133/Q133-1&lt;-0.95),"-",X133/Q133-1),"-")</f>
        <v>-</v>
      </c>
      <c r="Y134" s="369" t="str">
        <f t="shared" si="64"/>
        <v>-</v>
      </c>
      <c r="Z134" s="367"/>
      <c r="AB134" s="369" t="str">
        <f>IFERROR(IF(OR(AB133/#REF!-1&gt;2,AB133/#REF!-1&lt;-0.95),"-",AB133/#REF!-1),"-")</f>
        <v>-</v>
      </c>
      <c r="AC134" s="369" t="str">
        <f>IFERROR(IF(OR(AC133/#REF!-1&gt;2,AC133/#REF!-1&lt;-0.95),"-",AC133/#REF!-1),"-")</f>
        <v>-</v>
      </c>
      <c r="AD134" s="369" t="str">
        <f>IFERROR(IF(OR(AD133/#REF!-1&gt;2,AD133/#REF!-1&lt;-0.95),"-",AD133/#REF!-1),"-")</f>
        <v>-</v>
      </c>
      <c r="AE134" s="369" t="str">
        <f>IFERROR(IF(OR(AE133/#REF!-1&gt;2,AE133/#REF!-1&lt;-0.95),"-",AE133/#REF!-1),"-")</f>
        <v>-</v>
      </c>
      <c r="AF134" s="369" t="str">
        <f>IFERROR(IF(OR(AF133/#REF!-1&gt;2,AF133/#REF!-1&lt;-0.95),"-",AF133/#REF!-1),"-")</f>
        <v>-</v>
      </c>
      <c r="AG134" s="369"/>
      <c r="AH134" s="369"/>
      <c r="AI134" s="369"/>
      <c r="AK134" s="369"/>
      <c r="AL134" s="369"/>
      <c r="AM134" s="369"/>
      <c r="AN134" s="369"/>
      <c r="AO134" s="369"/>
      <c r="AP134" s="369"/>
      <c r="AQ134" s="369"/>
      <c r="AR134" s="369"/>
    </row>
    <row r="135" spans="1:52" ht="15" customHeight="1" x14ac:dyDescent="0.25">
      <c r="B135" s="41" t="s">
        <v>146</v>
      </c>
      <c r="C135" s="41"/>
      <c r="D135" s="41"/>
      <c r="E135" s="41"/>
      <c r="F135" s="41"/>
      <c r="G135" s="41"/>
      <c r="H135" s="41"/>
      <c r="I135" s="41"/>
      <c r="J135" s="41"/>
      <c r="K135" s="41"/>
      <c r="L135" s="41"/>
      <c r="M135" s="41"/>
      <c r="N135" s="41"/>
      <c r="O135" s="41"/>
      <c r="P135" s="41"/>
      <c r="Q135" s="41"/>
      <c r="R135" s="41"/>
      <c r="S135" s="41"/>
      <c r="T135" s="356">
        <v>2365.6874869999997</v>
      </c>
      <c r="U135" s="356">
        <v>2343.5984089999997</v>
      </c>
      <c r="V135" s="356">
        <v>2461.3719180000003</v>
      </c>
      <c r="W135" s="356">
        <v>2282.270614</v>
      </c>
      <c r="X135" s="356">
        <f>'Operating Data'!X176</f>
        <v>2241.5415560000001</v>
      </c>
      <c r="Y135" s="356">
        <f t="shared" si="64"/>
        <v>2367.8323230000005</v>
      </c>
      <c r="Z135" s="356"/>
      <c r="AA135" s="356"/>
      <c r="AB135" s="356">
        <f>'Operating Data'!AB176</f>
        <v>594.79143600000009</v>
      </c>
      <c r="AC135" s="356">
        <f>'Operating Data'!AC176</f>
        <v>1222.7026740000001</v>
      </c>
      <c r="AD135" s="356">
        <f>'Operating Data'!AD176</f>
        <v>1774.926103</v>
      </c>
      <c r="AE135" s="356">
        <f>'Operating Data'!AE176</f>
        <v>2367.8323230000005</v>
      </c>
      <c r="AF135" s="356">
        <f>'Operating Data'!AF176</f>
        <v>628.427504</v>
      </c>
      <c r="AG135" s="356"/>
      <c r="AH135" s="356"/>
      <c r="AI135" s="356"/>
      <c r="AK135" s="356"/>
      <c r="AL135" s="356"/>
      <c r="AM135" s="356"/>
      <c r="AN135" s="356"/>
      <c r="AO135" s="356"/>
      <c r="AP135" s="356"/>
      <c r="AQ135" s="356"/>
      <c r="AR135" s="356"/>
    </row>
    <row r="136" spans="1:52" ht="15" customHeight="1" x14ac:dyDescent="0.25">
      <c r="B136" s="158" t="s">
        <v>131</v>
      </c>
      <c r="C136" s="158"/>
      <c r="D136" s="158"/>
      <c r="E136" s="158"/>
      <c r="F136" s="158"/>
      <c r="G136" s="158"/>
      <c r="H136" s="158"/>
      <c r="I136" s="158"/>
      <c r="J136" s="158"/>
      <c r="K136" s="158"/>
      <c r="L136" s="158"/>
      <c r="M136" s="158"/>
      <c r="N136" s="158"/>
      <c r="O136" s="158"/>
      <c r="P136" s="158"/>
      <c r="Q136" s="158"/>
      <c r="R136" s="158"/>
      <c r="S136" s="158"/>
      <c r="T136" s="367" t="s">
        <v>17</v>
      </c>
      <c r="U136" s="367">
        <f>IFERROR(IF(OR(U135/T135-1&gt;2,U135/T135-1&lt;-0.95),"-",U135/T135-1),"-")</f>
        <v>-9.3372764244578077E-3</v>
      </c>
      <c r="V136" s="368">
        <f>IFERROR(IF(OR(V135/U135-1&gt;2,V135/U135-1&lt;-0.95),"-",V135/U135-1),"-")</f>
        <v>5.025328082990721E-2</v>
      </c>
      <c r="W136" s="369">
        <f>IFERROR(IF(OR(W135/V135-1&gt;2,W135/V135-1&lt;-0.95),"-",W135/V135-1),"-")</f>
        <v>-7.2764827895464901E-2</v>
      </c>
      <c r="X136" s="369" t="str">
        <f>IFERROR(IF(OR(X135/Q135-1&gt;2,X135/Q135-1&lt;-0.95),"-",X135/Q135-1),"-")</f>
        <v>-</v>
      </c>
      <c r="Y136" s="369" t="str">
        <f t="shared" si="64"/>
        <v>-</v>
      </c>
      <c r="Z136" s="367"/>
      <c r="AB136" s="369" t="str">
        <f>IFERROR(IF(OR(AB135/#REF!-1&gt;2,AB135/#REF!-1&lt;-0.95),"-",AB135/#REF!-1),"-")</f>
        <v>-</v>
      </c>
      <c r="AC136" s="369" t="str">
        <f>IFERROR(IF(OR(AC135/#REF!-1&gt;2,AC135/#REF!-1&lt;-0.95),"-",AC135/#REF!-1),"-")</f>
        <v>-</v>
      </c>
      <c r="AD136" s="369" t="str">
        <f>IFERROR(IF(OR(AD135/#REF!-1&gt;2,AD135/#REF!-1&lt;-0.95),"-",AD135/#REF!-1),"-")</f>
        <v>-</v>
      </c>
      <c r="AE136" s="369" t="str">
        <f>IFERROR(IF(OR(AE135/#REF!-1&gt;2,AE135/#REF!-1&lt;-0.95),"-",AE135/#REF!-1),"-")</f>
        <v>-</v>
      </c>
      <c r="AF136" s="369" t="str">
        <f>IFERROR(IF(OR(AF135/#REF!-1&gt;2,AF135/#REF!-1&lt;-0.95),"-",AF135/#REF!-1),"-")</f>
        <v>-</v>
      </c>
      <c r="AG136" s="369"/>
      <c r="AH136" s="369"/>
      <c r="AI136" s="369"/>
      <c r="AK136" s="369"/>
      <c r="AL136" s="369"/>
      <c r="AM136" s="369"/>
      <c r="AN136" s="369"/>
      <c r="AO136" s="369"/>
      <c r="AP136" s="369"/>
      <c r="AQ136" s="369"/>
      <c r="AR136" s="369"/>
    </row>
    <row r="137" spans="1:52" ht="15" customHeight="1" x14ac:dyDescent="0.25">
      <c r="B137" s="41" t="s">
        <v>140</v>
      </c>
      <c r="C137" s="41"/>
      <c r="D137" s="41"/>
      <c r="E137" s="41"/>
      <c r="F137" s="41"/>
      <c r="G137" s="41"/>
      <c r="H137" s="41"/>
      <c r="I137" s="41"/>
      <c r="J137" s="41"/>
      <c r="K137" s="41"/>
      <c r="L137" s="41"/>
      <c r="M137" s="41"/>
      <c r="N137" s="41"/>
      <c r="O137" s="41"/>
      <c r="P137" s="41"/>
      <c r="Q137" s="41"/>
      <c r="R137" s="41"/>
      <c r="S137" s="41"/>
      <c r="T137" s="356">
        <v>21996.233549510995</v>
      </c>
      <c r="U137" s="356">
        <v>21997.891750938699</v>
      </c>
      <c r="V137" s="356">
        <v>20705.516617846999</v>
      </c>
      <c r="W137" s="356">
        <v>21234.228221525998</v>
      </c>
      <c r="X137" s="356">
        <f>'Operating Data'!X177</f>
        <v>21757.558752575002</v>
      </c>
      <c r="Y137" s="356">
        <f t="shared" si="64"/>
        <v>21374.262294022003</v>
      </c>
      <c r="Z137" s="356"/>
      <c r="AA137" s="356"/>
      <c r="AB137" s="356">
        <f>'Operating Data'!AB177</f>
        <v>5262.538525551</v>
      </c>
      <c r="AC137" s="356">
        <f>'Operating Data'!AC177</f>
        <v>10599.471187657</v>
      </c>
      <c r="AD137" s="356">
        <f>'Operating Data'!AD177</f>
        <v>16064.453393684002</v>
      </c>
      <c r="AE137" s="356">
        <f>'Operating Data'!AE177</f>
        <v>21374.262294022003</v>
      </c>
      <c r="AF137" s="356">
        <f>'Operating Data'!AF177</f>
        <v>5327.6911855410008</v>
      </c>
      <c r="AG137" s="356"/>
      <c r="AH137" s="356"/>
      <c r="AI137" s="356"/>
      <c r="AK137" s="356"/>
      <c r="AL137" s="356"/>
      <c r="AM137" s="356"/>
      <c r="AN137" s="356"/>
      <c r="AO137" s="356"/>
      <c r="AP137" s="356"/>
      <c r="AQ137" s="356"/>
      <c r="AR137" s="356"/>
    </row>
    <row r="138" spans="1:52" ht="15" customHeight="1" x14ac:dyDescent="0.25">
      <c r="B138" s="158" t="s">
        <v>131</v>
      </c>
      <c r="C138" s="158"/>
      <c r="D138" s="158"/>
      <c r="E138" s="158"/>
      <c r="F138" s="158"/>
      <c r="G138" s="158"/>
      <c r="H138" s="158"/>
      <c r="I138" s="158"/>
      <c r="J138" s="158"/>
      <c r="K138" s="158"/>
      <c r="L138" s="158"/>
      <c r="M138" s="158"/>
      <c r="N138" s="158"/>
      <c r="O138" s="158"/>
      <c r="P138" s="158"/>
      <c r="Q138" s="158"/>
      <c r="R138" s="158"/>
      <c r="S138" s="158"/>
      <c r="T138" s="367" t="s">
        <v>17</v>
      </c>
      <c r="U138" s="367">
        <f>IFERROR(IF(OR(U137/T137-1&gt;2,U137/T137-1&lt;-0.95),"-",U137/T137-1),"-")</f>
        <v>7.5385698373064969E-5</v>
      </c>
      <c r="V138" s="368">
        <f>IFERROR(IF(OR(V137/U137-1&gt;2,V137/U137-1&lt;-0.95),"-",V137/U137-1),"-")</f>
        <v>-5.8749954210341571E-2</v>
      </c>
      <c r="W138" s="369">
        <f>IFERROR(IF(OR(W137/V137-1&gt;2,W137/V137-1&lt;-0.95),"-",W137/V137-1),"-")</f>
        <v>2.5534818253377001E-2</v>
      </c>
      <c r="X138" s="369" t="str">
        <f>IFERROR(IF(OR(X137/Q137-1&gt;2,X137/Q137-1&lt;-0.95),"-",X137/Q137-1),"-")</f>
        <v>-</v>
      </c>
      <c r="Y138" s="369" t="str">
        <f t="shared" si="64"/>
        <v>-</v>
      </c>
      <c r="Z138" s="367"/>
      <c r="AB138" s="369" t="str">
        <f>IFERROR(IF(OR(AB137/#REF!-1&gt;2,AB137/#REF!-1&lt;-0.95),"-",AB137/#REF!-1),"-")</f>
        <v>-</v>
      </c>
      <c r="AC138" s="369" t="str">
        <f>IFERROR(IF(OR(AC137/#REF!-1&gt;2,AC137/#REF!-1&lt;-0.95),"-",AC137/#REF!-1),"-")</f>
        <v>-</v>
      </c>
      <c r="AD138" s="369" t="str">
        <f>IFERROR(IF(OR(AD137/#REF!-1&gt;2,AD137/#REF!-1&lt;-0.95),"-",AD137/#REF!-1),"-")</f>
        <v>-</v>
      </c>
      <c r="AE138" s="369" t="str">
        <f>IFERROR(IF(OR(AE137/#REF!-1&gt;2,AE137/#REF!-1&lt;-0.95),"-",AE137/#REF!-1),"-")</f>
        <v>-</v>
      </c>
      <c r="AF138" s="369" t="str">
        <f>IFERROR(IF(OR(AF137/#REF!-1&gt;2,AF137/#REF!-1&lt;-0.95),"-",AF137/#REF!-1),"-")</f>
        <v>-</v>
      </c>
      <c r="AG138" s="369"/>
      <c r="AH138" s="369"/>
      <c r="AI138" s="369"/>
      <c r="AK138" s="369"/>
      <c r="AL138" s="369"/>
      <c r="AM138" s="369"/>
      <c r="AN138" s="369"/>
      <c r="AO138" s="369"/>
      <c r="AP138" s="369"/>
      <c r="AQ138" s="369"/>
      <c r="AR138" s="369"/>
    </row>
    <row r="139" spans="1:52" s="50" customFormat="1" ht="15" customHeight="1" x14ac:dyDescent="0.25">
      <c r="A139" s="78"/>
      <c r="B139" s="41" t="s">
        <v>141</v>
      </c>
      <c r="C139" s="41"/>
      <c r="D139" s="41"/>
      <c r="E139" s="41"/>
      <c r="F139" s="41"/>
      <c r="G139" s="41"/>
      <c r="H139" s="41"/>
      <c r="I139" s="41"/>
      <c r="J139" s="41"/>
      <c r="K139" s="41"/>
      <c r="L139" s="41"/>
      <c r="M139" s="41"/>
      <c r="N139" s="41"/>
      <c r="O139" s="41"/>
      <c r="P139" s="41"/>
      <c r="Q139" s="41"/>
      <c r="R139" s="41"/>
      <c r="S139" s="41"/>
      <c r="T139" s="356">
        <v>21696.963330683997</v>
      </c>
      <c r="U139" s="356">
        <v>21324.98362434049</v>
      </c>
      <c r="V139" s="356">
        <v>20975.918670589002</v>
      </c>
      <c r="W139" s="356">
        <v>21235.50566739</v>
      </c>
      <c r="X139" s="356">
        <f>'Operating Data'!X178</f>
        <v>21495.350923211998</v>
      </c>
      <c r="Y139" s="356">
        <f t="shared" si="64"/>
        <v>22235.782578937004</v>
      </c>
      <c r="Z139" s="356"/>
      <c r="AA139" s="356"/>
      <c r="AB139" s="356">
        <f>'Operating Data'!AB178</f>
        <v>6321.9079269859994</v>
      </c>
      <c r="AC139" s="356">
        <f>'Operating Data'!AC178</f>
        <v>11099.962911243001</v>
      </c>
      <c r="AD139" s="356">
        <f>'Operating Data'!AD178</f>
        <v>16301.177515403997</v>
      </c>
      <c r="AE139" s="356">
        <f>'Operating Data'!AE178</f>
        <v>22235.782578937004</v>
      </c>
      <c r="AF139" s="356">
        <f>'Operating Data'!AF178</f>
        <v>6328.5638261080003</v>
      </c>
      <c r="AG139" s="356"/>
      <c r="AH139" s="356"/>
      <c r="AI139" s="356"/>
      <c r="AJ139" s="354"/>
      <c r="AK139" s="356"/>
      <c r="AL139" s="356"/>
      <c r="AM139" s="356"/>
      <c r="AN139" s="356"/>
      <c r="AO139" s="356"/>
      <c r="AP139" s="356"/>
      <c r="AQ139" s="356"/>
      <c r="AR139" s="356"/>
      <c r="AS139" s="354"/>
      <c r="AT139" s="354"/>
      <c r="AU139" s="354"/>
      <c r="AV139" s="354"/>
      <c r="AW139" s="354"/>
      <c r="AX139" s="354"/>
      <c r="AY139" s="354"/>
      <c r="AZ139" s="78"/>
    </row>
    <row r="140" spans="1:52" s="50" customFormat="1" ht="15" customHeight="1" x14ac:dyDescent="0.25">
      <c r="B140" s="158" t="s">
        <v>131</v>
      </c>
      <c r="C140" s="158"/>
      <c r="D140" s="158"/>
      <c r="E140" s="158"/>
      <c r="F140" s="158"/>
      <c r="G140" s="158"/>
      <c r="H140" s="158"/>
      <c r="I140" s="158"/>
      <c r="J140" s="158"/>
      <c r="K140" s="158"/>
      <c r="L140" s="158"/>
      <c r="M140" s="158"/>
      <c r="N140" s="158"/>
      <c r="O140" s="158"/>
      <c r="P140" s="158"/>
      <c r="Q140" s="158"/>
      <c r="R140" s="158"/>
      <c r="S140" s="158"/>
      <c r="T140" s="367" t="s">
        <v>17</v>
      </c>
      <c r="U140" s="367">
        <f>IFERROR(IF(OR(U139/T139-1&gt;2,U139/T139-1&lt;-0.95),"-",U139/T139-1),"-")</f>
        <v>-1.7144321104947013E-2</v>
      </c>
      <c r="V140" s="368">
        <f>IFERROR(IF(OR(V139/U139-1&gt;2,V139/U139-1&lt;-0.95),"-",V139/U139-1),"-")</f>
        <v>-1.6368826344751009E-2</v>
      </c>
      <c r="W140" s="369">
        <f>IFERROR(IF(OR(W139/V139-1&gt;2,W139/V139-1&lt;-0.95),"-",W139/V139-1),"-")</f>
        <v>1.2375476892221737E-2</v>
      </c>
      <c r="X140" s="369" t="str">
        <f>IFERROR(IF(OR(X139/Q139-1&gt;2,X139/Q139-1&lt;-0.95),"-",X139/Q139-1),"-")</f>
        <v>-</v>
      </c>
      <c r="Y140" s="369" t="str">
        <f t="shared" si="64"/>
        <v>-</v>
      </c>
      <c r="Z140" s="367"/>
      <c r="AA140" s="354"/>
      <c r="AB140" s="369" t="str">
        <f>IFERROR(IF(OR(AB139/#REF!-1&gt;2,AB139/#REF!-1&lt;-0.95),"-",AB139/#REF!-1),"-")</f>
        <v>-</v>
      </c>
      <c r="AC140" s="369" t="str">
        <f>IFERROR(IF(OR(AC139/#REF!-1&gt;2,AC139/#REF!-1&lt;-0.95),"-",AC139/#REF!-1),"-")</f>
        <v>-</v>
      </c>
      <c r="AD140" s="369" t="str">
        <f>IFERROR(IF(OR(AD139/#REF!-1&gt;2,AD139/#REF!-1&lt;-0.95),"-",AD139/#REF!-1),"-")</f>
        <v>-</v>
      </c>
      <c r="AE140" s="369" t="str">
        <f>IFERROR(IF(OR(AE139/#REF!-1&gt;2,AE139/#REF!-1&lt;-0.95),"-",AE139/#REF!-1),"-")</f>
        <v>-</v>
      </c>
      <c r="AF140" s="369" t="str">
        <f>IFERROR(IF(OR(AF139/#REF!-1&gt;2,AF139/#REF!-1&lt;-0.95),"-",AF139/#REF!-1),"-")</f>
        <v>-</v>
      </c>
      <c r="AG140" s="369"/>
      <c r="AH140" s="369"/>
      <c r="AI140" s="369"/>
      <c r="AJ140" s="354"/>
      <c r="AK140" s="369"/>
      <c r="AL140" s="369"/>
      <c r="AM140" s="369"/>
      <c r="AN140" s="369"/>
      <c r="AO140" s="369"/>
      <c r="AP140" s="369"/>
      <c r="AQ140" s="369"/>
      <c r="AR140" s="369"/>
      <c r="AS140" s="354"/>
      <c r="AT140" s="354"/>
      <c r="AU140" s="354"/>
      <c r="AV140" s="354"/>
      <c r="AW140" s="354"/>
      <c r="AX140" s="354"/>
      <c r="AY140" s="354"/>
      <c r="AZ140" s="78"/>
    </row>
    <row r="141" spans="1:52" s="41" customFormat="1" ht="15" customHeight="1" x14ac:dyDescent="0.25">
      <c r="B141" s="78"/>
      <c r="C141" s="78"/>
      <c r="D141" s="78"/>
      <c r="E141" s="78"/>
      <c r="F141" s="78"/>
      <c r="G141" s="78"/>
      <c r="H141" s="78"/>
      <c r="I141" s="78"/>
      <c r="J141" s="78"/>
      <c r="K141" s="78"/>
      <c r="L141" s="78"/>
      <c r="M141" s="78"/>
      <c r="N141" s="78"/>
      <c r="O141" s="78"/>
      <c r="P141" s="78"/>
      <c r="Q141" s="78"/>
      <c r="R141" s="78"/>
      <c r="S141" s="78"/>
      <c r="T141" s="354"/>
      <c r="U141" s="354"/>
      <c r="V141" s="354"/>
      <c r="W141" s="354"/>
      <c r="X141" s="354"/>
      <c r="Y141" s="354"/>
      <c r="Z141" s="354"/>
      <c r="AA141" s="223"/>
      <c r="AB141" s="354"/>
      <c r="AC141" s="354"/>
      <c r="AD141" s="354"/>
      <c r="AE141" s="354"/>
      <c r="AF141" s="354"/>
      <c r="AG141" s="354"/>
      <c r="AH141" s="354"/>
      <c r="AI141" s="354"/>
      <c r="AJ141" s="223"/>
      <c r="AK141" s="354"/>
      <c r="AL141" s="354"/>
      <c r="AM141" s="354"/>
      <c r="AN141" s="354"/>
      <c r="AO141" s="354"/>
      <c r="AP141" s="354"/>
      <c r="AQ141" s="354"/>
      <c r="AR141" s="354"/>
      <c r="AS141" s="223"/>
      <c r="AT141" s="223"/>
      <c r="AU141" s="223"/>
      <c r="AV141" s="223"/>
      <c r="AW141" s="223"/>
      <c r="AX141" s="223"/>
      <c r="AY141" s="223"/>
      <c r="AZ141"/>
    </row>
    <row r="142" spans="1:52" ht="30" customHeight="1" x14ac:dyDescent="0.25">
      <c r="B142" s="186" t="s">
        <v>50</v>
      </c>
      <c r="C142" s="186"/>
      <c r="D142" s="186"/>
      <c r="E142" s="186"/>
      <c r="F142" s="186"/>
      <c r="G142" s="186"/>
      <c r="H142" s="186"/>
      <c r="I142" s="186"/>
      <c r="J142" s="186"/>
      <c r="K142" s="186"/>
      <c r="L142" s="186"/>
      <c r="M142" s="186"/>
      <c r="N142" s="186"/>
      <c r="O142" s="186"/>
      <c r="P142" s="186"/>
      <c r="Q142" s="186"/>
      <c r="R142" s="186"/>
      <c r="S142" s="186"/>
    </row>
    <row r="143" spans="1:52" ht="15" customHeight="1" x14ac:dyDescent="0.25">
      <c r="B143" s="164" t="s">
        <v>101</v>
      </c>
      <c r="C143" s="175"/>
      <c r="D143" s="175"/>
      <c r="E143" s="175"/>
      <c r="F143" s="175"/>
      <c r="G143" s="175"/>
      <c r="H143" s="175"/>
      <c r="I143" s="175"/>
      <c r="J143" s="175"/>
      <c r="K143" s="175"/>
      <c r="L143" s="175"/>
      <c r="M143" s="175"/>
      <c r="N143" s="175"/>
      <c r="O143" s="175"/>
      <c r="P143" s="175"/>
      <c r="Q143" s="175"/>
      <c r="R143" s="175"/>
      <c r="S143" s="175"/>
      <c r="T143" s="228">
        <v>2018</v>
      </c>
      <c r="U143" s="228">
        <v>2019</v>
      </c>
      <c r="V143" s="228">
        <v>2020</v>
      </c>
      <c r="W143" s="228">
        <v>2021</v>
      </c>
      <c r="X143" s="228">
        <v>2022</v>
      </c>
      <c r="Y143" s="231">
        <v>2023</v>
      </c>
      <c r="Z143" s="230"/>
      <c r="AB143" s="231" t="s">
        <v>291</v>
      </c>
      <c r="AC143" s="231" t="s">
        <v>292</v>
      </c>
      <c r="AD143" s="231" t="s">
        <v>293</v>
      </c>
      <c r="AE143" s="231">
        <v>2023</v>
      </c>
      <c r="AF143" s="232" t="s">
        <v>318</v>
      </c>
      <c r="AG143" s="232" t="s">
        <v>319</v>
      </c>
      <c r="AH143" s="232" t="s">
        <v>320</v>
      </c>
      <c r="AI143" s="232">
        <v>2024</v>
      </c>
      <c r="AK143" s="231" t="s">
        <v>291</v>
      </c>
      <c r="AL143" s="231" t="s">
        <v>296</v>
      </c>
      <c r="AM143" s="231" t="s">
        <v>294</v>
      </c>
      <c r="AN143" s="231" t="s">
        <v>295</v>
      </c>
      <c r="AO143" s="232" t="s">
        <v>318</v>
      </c>
      <c r="AP143" s="232" t="s">
        <v>321</v>
      </c>
      <c r="AQ143" s="232" t="s">
        <v>322</v>
      </c>
      <c r="AR143" s="232" t="s">
        <v>323</v>
      </c>
    </row>
    <row r="144" spans="1:52" ht="15" customHeight="1" x14ac:dyDescent="0.25">
      <c r="B144" s="77" t="s">
        <v>102</v>
      </c>
      <c r="C144" s="77"/>
      <c r="D144" s="77"/>
      <c r="E144" s="77"/>
      <c r="F144" s="77"/>
      <c r="G144" s="77"/>
      <c r="H144" s="77"/>
      <c r="I144" s="77"/>
      <c r="J144" s="77"/>
      <c r="K144" s="77"/>
      <c r="L144" s="77"/>
      <c r="M144" s="77"/>
      <c r="N144" s="77"/>
      <c r="O144" s="77"/>
      <c r="P144" s="77"/>
      <c r="Q144" s="77"/>
      <c r="R144" s="77"/>
      <c r="S144" s="77"/>
      <c r="T144" s="355">
        <v>192.80258695999999</v>
      </c>
      <c r="U144" s="355">
        <v>197.16757963000003</v>
      </c>
      <c r="V144" s="355">
        <v>193.32943890000004</v>
      </c>
      <c r="W144" s="355">
        <v>469.52620120999995</v>
      </c>
      <c r="X144" s="355">
        <v>430.64320598999996</v>
      </c>
      <c r="Y144" s="355">
        <f t="shared" ref="Y144:Y153" si="65">AE144</f>
        <v>439.44337407000012</v>
      </c>
      <c r="Z144" s="355"/>
      <c r="AB144" s="355">
        <v>110.64497575000001</v>
      </c>
      <c r="AC144" s="355">
        <v>220.94762423</v>
      </c>
      <c r="AD144" s="355">
        <v>331.55384254000001</v>
      </c>
      <c r="AE144" s="355">
        <v>439.44337407000012</v>
      </c>
      <c r="AF144" s="355">
        <v>112.01878474000003</v>
      </c>
      <c r="AG144" s="355"/>
      <c r="AH144" s="355"/>
      <c r="AI144" s="355"/>
      <c r="AK144" s="355">
        <f t="shared" ref="AK144:AK149" si="66">AB144</f>
        <v>110.64497575000001</v>
      </c>
      <c r="AL144" s="355">
        <f t="shared" ref="AL144:AN149" si="67">AC144-AB144</f>
        <v>110.30264847999999</v>
      </c>
      <c r="AM144" s="355">
        <f t="shared" si="67"/>
        <v>110.60621831</v>
      </c>
      <c r="AN144" s="355">
        <f t="shared" si="67"/>
        <v>107.88953153000011</v>
      </c>
      <c r="AO144" s="355">
        <f t="shared" ref="AO144:AO149" si="68">AF144</f>
        <v>112.01878474000003</v>
      </c>
      <c r="AP144" s="355"/>
      <c r="AQ144" s="355"/>
      <c r="AR144" s="355"/>
    </row>
    <row r="145" spans="1:52" s="48" customFormat="1" ht="15" customHeight="1" x14ac:dyDescent="0.25">
      <c r="A145" s="78"/>
      <c r="B145" s="201" t="s">
        <v>444</v>
      </c>
      <c r="C145" s="81"/>
      <c r="D145" s="81"/>
      <c r="E145" s="81"/>
      <c r="F145" s="81"/>
      <c r="G145" s="81"/>
      <c r="H145" s="81"/>
      <c r="I145" s="81"/>
      <c r="J145" s="81"/>
      <c r="K145" s="81"/>
      <c r="L145" s="81"/>
      <c r="M145" s="81"/>
      <c r="N145" s="81"/>
      <c r="O145" s="81"/>
      <c r="P145" s="81"/>
      <c r="Q145" s="81"/>
      <c r="R145" s="81"/>
      <c r="S145" s="81"/>
      <c r="T145" s="356">
        <v>189.3460364494</v>
      </c>
      <c r="U145" s="356">
        <v>190.53366329344601</v>
      </c>
      <c r="V145" s="356">
        <v>189.58844414708201</v>
      </c>
      <c r="W145" s="356">
        <v>395.60355223775395</v>
      </c>
      <c r="X145" s="356">
        <v>399.34322314000002</v>
      </c>
      <c r="Y145" s="356">
        <f t="shared" si="65"/>
        <v>402.18317510000003</v>
      </c>
      <c r="Z145" s="356"/>
      <c r="AA145" s="354"/>
      <c r="AB145" s="356">
        <v>100.51627387000001</v>
      </c>
      <c r="AC145" s="356">
        <v>201.03254774000001</v>
      </c>
      <c r="AD145" s="356">
        <v>301.63738135</v>
      </c>
      <c r="AE145" s="356">
        <v>402.18317510000003</v>
      </c>
      <c r="AF145" s="356">
        <v>101.87611958000001</v>
      </c>
      <c r="AG145" s="356"/>
      <c r="AH145" s="356"/>
      <c r="AI145" s="356"/>
      <c r="AJ145" s="354"/>
      <c r="AK145" s="356">
        <f t="shared" si="66"/>
        <v>100.51627387000001</v>
      </c>
      <c r="AL145" s="356">
        <f t="shared" si="67"/>
        <v>100.51627387000001</v>
      </c>
      <c r="AM145" s="356">
        <f t="shared" si="67"/>
        <v>100.60483360999999</v>
      </c>
      <c r="AN145" s="356">
        <f t="shared" si="67"/>
        <v>100.54579375000003</v>
      </c>
      <c r="AO145" s="356">
        <f t="shared" si="68"/>
        <v>101.87611958000001</v>
      </c>
      <c r="AP145" s="356"/>
      <c r="AQ145" s="356"/>
      <c r="AR145" s="356"/>
      <c r="AS145" s="354"/>
      <c r="AT145" s="354"/>
      <c r="AU145" s="354"/>
      <c r="AV145" s="354"/>
      <c r="AW145" s="354"/>
      <c r="AX145" s="354"/>
      <c r="AY145" s="354"/>
      <c r="AZ145" s="78"/>
    </row>
    <row r="146" spans="1:52" s="48" customFormat="1" ht="15" customHeight="1" x14ac:dyDescent="0.25">
      <c r="B146" s="202" t="s">
        <v>452</v>
      </c>
      <c r="C146" s="82"/>
      <c r="D146" s="82"/>
      <c r="E146" s="82"/>
      <c r="F146" s="82"/>
      <c r="G146" s="82"/>
      <c r="H146" s="82"/>
      <c r="I146" s="82"/>
      <c r="J146" s="82"/>
      <c r="K146" s="82"/>
      <c r="L146" s="82"/>
      <c r="M146" s="82"/>
      <c r="N146" s="82"/>
      <c r="O146" s="82"/>
      <c r="P146" s="82"/>
      <c r="Q146" s="82"/>
      <c r="R146" s="82"/>
      <c r="S146" s="82"/>
      <c r="T146" s="356">
        <v>3.4565501899999993</v>
      </c>
      <c r="U146" s="356">
        <v>6.6339163399999999</v>
      </c>
      <c r="V146" s="356">
        <v>3.7409947529180272</v>
      </c>
      <c r="W146" s="356">
        <v>73.922648972246009</v>
      </c>
      <c r="X146" s="356">
        <v>31.299982849999935</v>
      </c>
      <c r="Y146" s="356">
        <f t="shared" si="65"/>
        <v>37.26019897000009</v>
      </c>
      <c r="Z146" s="356"/>
      <c r="AA146" s="354"/>
      <c r="AB146" s="356">
        <v>10.128701880000008</v>
      </c>
      <c r="AC146" s="356">
        <v>19.91507648999999</v>
      </c>
      <c r="AD146" s="356">
        <v>29.916461190000007</v>
      </c>
      <c r="AE146" s="356">
        <v>37.26019897000009</v>
      </c>
      <c r="AF146" s="356">
        <v>10.142665160000021</v>
      </c>
      <c r="AG146" s="356"/>
      <c r="AH146" s="356"/>
      <c r="AI146" s="356"/>
      <c r="AJ146" s="354"/>
      <c r="AK146" s="356">
        <f t="shared" si="66"/>
        <v>10.128701880000008</v>
      </c>
      <c r="AL146" s="356">
        <f t="shared" si="67"/>
        <v>9.7863746099999815</v>
      </c>
      <c r="AM146" s="356">
        <f t="shared" si="67"/>
        <v>10.001384700000017</v>
      </c>
      <c r="AN146" s="356">
        <f t="shared" si="67"/>
        <v>7.3437377800000831</v>
      </c>
      <c r="AO146" s="356">
        <f t="shared" si="68"/>
        <v>10.142665160000021</v>
      </c>
      <c r="AP146" s="356"/>
      <c r="AQ146" s="356"/>
      <c r="AR146" s="356"/>
      <c r="AS146" s="354"/>
      <c r="AT146" s="354"/>
      <c r="AU146" s="354"/>
      <c r="AV146" s="354"/>
      <c r="AW146" s="354"/>
      <c r="AX146" s="354"/>
      <c r="AY146" s="354"/>
      <c r="AZ146" s="78"/>
    </row>
    <row r="147" spans="1:52" ht="15" customHeight="1" x14ac:dyDescent="0.25">
      <c r="B147" s="81" t="s">
        <v>148</v>
      </c>
      <c r="C147" s="81"/>
      <c r="D147" s="81"/>
      <c r="E147" s="81"/>
      <c r="F147" s="81"/>
      <c r="G147" s="81"/>
      <c r="H147" s="81"/>
      <c r="I147" s="81"/>
      <c r="J147" s="81"/>
      <c r="K147" s="81"/>
      <c r="L147" s="81"/>
      <c r="M147" s="81"/>
      <c r="N147" s="81"/>
      <c r="O147" s="81"/>
      <c r="P147" s="81"/>
      <c r="Q147" s="81"/>
      <c r="R147" s="81"/>
      <c r="S147" s="81"/>
      <c r="T147" s="356">
        <v>55.451630630000004</v>
      </c>
      <c r="U147" s="356">
        <v>54.736659240000009</v>
      </c>
      <c r="V147" s="356">
        <v>58.261909109999998</v>
      </c>
      <c r="W147" s="356">
        <v>117.31194746000001</v>
      </c>
      <c r="X147" s="356">
        <v>101.45760804000001</v>
      </c>
      <c r="Y147" s="356">
        <f t="shared" si="65"/>
        <v>116.58418144999997</v>
      </c>
      <c r="Z147" s="356"/>
      <c r="AB147" s="356">
        <v>26.574605140000006</v>
      </c>
      <c r="AC147" s="356">
        <v>53.052533549999993</v>
      </c>
      <c r="AD147" s="356">
        <v>80.251513329999995</v>
      </c>
      <c r="AE147" s="356">
        <v>116.58418144999997</v>
      </c>
      <c r="AF147" s="356">
        <v>27.461391090000003</v>
      </c>
      <c r="AG147" s="356"/>
      <c r="AH147" s="356"/>
      <c r="AI147" s="356"/>
      <c r="AK147" s="356">
        <f t="shared" si="66"/>
        <v>26.574605140000006</v>
      </c>
      <c r="AL147" s="356">
        <f t="shared" si="67"/>
        <v>26.477928409999986</v>
      </c>
      <c r="AM147" s="356">
        <f t="shared" si="67"/>
        <v>27.198979780000002</v>
      </c>
      <c r="AN147" s="356">
        <f t="shared" si="67"/>
        <v>36.33266811999998</v>
      </c>
      <c r="AO147" s="356">
        <f t="shared" si="68"/>
        <v>27.461391090000003</v>
      </c>
      <c r="AP147" s="356"/>
      <c r="AQ147" s="356"/>
      <c r="AR147" s="356"/>
    </row>
    <row r="148" spans="1:52" ht="15" customHeight="1" x14ac:dyDescent="0.25">
      <c r="B148" s="82" t="s">
        <v>149</v>
      </c>
      <c r="C148" s="82"/>
      <c r="D148" s="82"/>
      <c r="E148" s="82"/>
      <c r="F148" s="82"/>
      <c r="G148" s="82"/>
      <c r="H148" s="82"/>
      <c r="I148" s="82"/>
      <c r="J148" s="82"/>
      <c r="K148" s="82"/>
      <c r="L148" s="82"/>
      <c r="M148" s="82"/>
      <c r="N148" s="82"/>
      <c r="O148" s="82"/>
      <c r="P148" s="82"/>
      <c r="Q148" s="82"/>
      <c r="R148" s="82"/>
      <c r="S148" s="82"/>
      <c r="T148" s="356">
        <v>-7.2106588700000005</v>
      </c>
      <c r="U148" s="356">
        <v>-12.210933509999998</v>
      </c>
      <c r="V148" s="356">
        <v>-35.10449792</v>
      </c>
      <c r="W148" s="356">
        <v>-16.664662100000005</v>
      </c>
      <c r="X148" s="356">
        <v>-28.43463919999763</v>
      </c>
      <c r="Y148" s="356">
        <f t="shared" si="65"/>
        <v>-25.899032819999995</v>
      </c>
      <c r="Z148" s="356"/>
      <c r="AB148" s="356">
        <v>-2.9821804199999993</v>
      </c>
      <c r="AC148" s="356">
        <v>-7.2583532600000016</v>
      </c>
      <c r="AD148" s="356">
        <v>-13.483599399999999</v>
      </c>
      <c r="AE148" s="356">
        <v>-25.899032819999995</v>
      </c>
      <c r="AF148" s="356">
        <v>-2.3127369999999994</v>
      </c>
      <c r="AG148" s="356"/>
      <c r="AH148" s="356"/>
      <c r="AI148" s="356"/>
      <c r="AK148" s="356">
        <f t="shared" si="66"/>
        <v>-2.9821804199999993</v>
      </c>
      <c r="AL148" s="356">
        <f t="shared" si="67"/>
        <v>-4.2761728400000028</v>
      </c>
      <c r="AM148" s="356">
        <f t="shared" si="67"/>
        <v>-6.2252461399999977</v>
      </c>
      <c r="AN148" s="356">
        <f t="shared" si="67"/>
        <v>-12.415433419999996</v>
      </c>
      <c r="AO148" s="356">
        <f t="shared" si="68"/>
        <v>-2.3127369999999994</v>
      </c>
      <c r="AP148" s="356"/>
      <c r="AQ148" s="356"/>
      <c r="AR148" s="356"/>
    </row>
    <row r="149" spans="1:52" ht="15" customHeight="1" x14ac:dyDescent="0.25">
      <c r="B149" s="87" t="s">
        <v>150</v>
      </c>
      <c r="C149" s="87"/>
      <c r="D149" s="87"/>
      <c r="E149" s="87"/>
      <c r="F149" s="87"/>
      <c r="G149" s="87"/>
      <c r="H149" s="87"/>
      <c r="I149" s="87"/>
      <c r="J149" s="87"/>
      <c r="K149" s="87"/>
      <c r="L149" s="87"/>
      <c r="M149" s="87"/>
      <c r="N149" s="87"/>
      <c r="O149" s="87"/>
      <c r="P149" s="87"/>
      <c r="Q149" s="87"/>
      <c r="R149" s="87"/>
      <c r="S149" s="87"/>
      <c r="T149" s="355">
        <v>48.240971760000008</v>
      </c>
      <c r="U149" s="355">
        <v>42.525725730000005</v>
      </c>
      <c r="V149" s="355">
        <v>23.157411189999998</v>
      </c>
      <c r="W149" s="355">
        <v>100.64728536000001</v>
      </c>
      <c r="X149" s="355">
        <v>73.022968840002378</v>
      </c>
      <c r="Y149" s="355">
        <f t="shared" si="65"/>
        <v>90.685148629999986</v>
      </c>
      <c r="Z149" s="355"/>
      <c r="AB149" s="355">
        <v>23.592424720000007</v>
      </c>
      <c r="AC149" s="355">
        <v>45.794180289999993</v>
      </c>
      <c r="AD149" s="355">
        <v>66.767913929999992</v>
      </c>
      <c r="AE149" s="355">
        <v>90.685148629999986</v>
      </c>
      <c r="AF149" s="355">
        <v>25.148654090000004</v>
      </c>
      <c r="AG149" s="355"/>
      <c r="AH149" s="355"/>
      <c r="AI149" s="355"/>
      <c r="AK149" s="355">
        <f t="shared" si="66"/>
        <v>23.592424720000007</v>
      </c>
      <c r="AL149" s="355">
        <f t="shared" si="67"/>
        <v>22.201755569999985</v>
      </c>
      <c r="AM149" s="355">
        <f t="shared" si="67"/>
        <v>20.973733639999999</v>
      </c>
      <c r="AN149" s="355">
        <f t="shared" si="67"/>
        <v>23.917234699999995</v>
      </c>
      <c r="AO149" s="355">
        <f t="shared" si="68"/>
        <v>25.148654090000004</v>
      </c>
      <c r="AP149" s="355"/>
      <c r="AQ149" s="355"/>
      <c r="AR149" s="355"/>
    </row>
    <row r="150" spans="1:52" ht="15" customHeight="1" x14ac:dyDescent="0.25">
      <c r="B150" s="78" t="s">
        <v>151</v>
      </c>
      <c r="T150" s="361" t="s">
        <v>17</v>
      </c>
      <c r="U150" s="356">
        <v>0</v>
      </c>
      <c r="V150" s="356">
        <v>-3.6878989999999998</v>
      </c>
      <c r="W150" s="356">
        <v>0</v>
      </c>
      <c r="X150" s="356" t="s">
        <v>17</v>
      </c>
      <c r="Y150" s="356" t="str">
        <f t="shared" si="65"/>
        <v>-</v>
      </c>
      <c r="Z150" s="356"/>
      <c r="AB150" s="356" t="s">
        <v>17</v>
      </c>
      <c r="AC150" s="356" t="s">
        <v>17</v>
      </c>
      <c r="AD150" s="356" t="s">
        <v>17</v>
      </c>
      <c r="AE150" s="356" t="s">
        <v>17</v>
      </c>
      <c r="AF150" s="356" t="s">
        <v>17</v>
      </c>
      <c r="AG150" s="356"/>
      <c r="AH150" s="356"/>
      <c r="AI150" s="356"/>
      <c r="AK150" s="356"/>
      <c r="AL150" s="356"/>
      <c r="AM150" s="356"/>
      <c r="AN150" s="356"/>
      <c r="AO150" s="356"/>
      <c r="AP150" s="356"/>
      <c r="AQ150" s="356"/>
      <c r="AR150" s="356"/>
    </row>
    <row r="151" spans="1:52" ht="15" customHeight="1" x14ac:dyDescent="0.25">
      <c r="B151" s="87" t="s">
        <v>72</v>
      </c>
      <c r="C151" s="87"/>
      <c r="D151" s="87"/>
      <c r="E151" s="87"/>
      <c r="F151" s="87"/>
      <c r="G151" s="87"/>
      <c r="H151" s="87"/>
      <c r="I151" s="87"/>
      <c r="J151" s="87"/>
      <c r="K151" s="87"/>
      <c r="L151" s="87"/>
      <c r="M151" s="87"/>
      <c r="N151" s="87"/>
      <c r="O151" s="87"/>
      <c r="P151" s="87"/>
      <c r="Q151" s="87"/>
      <c r="R151" s="87"/>
      <c r="S151" s="87"/>
      <c r="T151" s="355">
        <v>144.56161519999998</v>
      </c>
      <c r="U151" s="355">
        <v>154.64185390000003</v>
      </c>
      <c r="V151" s="355">
        <v>166.48412870999991</v>
      </c>
      <c r="W151" s="355">
        <v>368.87891584999994</v>
      </c>
      <c r="X151" s="355">
        <v>357.71815039999763</v>
      </c>
      <c r="Y151" s="355">
        <f t="shared" si="65"/>
        <v>348.75822543999988</v>
      </c>
      <c r="Z151" s="355"/>
      <c r="AB151" s="355">
        <v>87.052551030000046</v>
      </c>
      <c r="AC151" s="355">
        <v>175.15344393999999</v>
      </c>
      <c r="AD151" s="355">
        <v>264.78592861000004</v>
      </c>
      <c r="AE151" s="355">
        <v>348.75822543999988</v>
      </c>
      <c r="AF151" s="355">
        <v>86.870130649999965</v>
      </c>
      <c r="AG151" s="355"/>
      <c r="AH151" s="355"/>
      <c r="AI151" s="355"/>
      <c r="AK151" s="355">
        <f>AB151</f>
        <v>87.052551030000046</v>
      </c>
      <c r="AL151" s="355">
        <f t="shared" ref="AL151:AN153" si="69">AC151-AB151</f>
        <v>88.100892909999942</v>
      </c>
      <c r="AM151" s="355">
        <f t="shared" si="69"/>
        <v>89.632484670000053</v>
      </c>
      <c r="AN151" s="355">
        <f t="shared" si="69"/>
        <v>83.972296829999834</v>
      </c>
      <c r="AO151" s="355">
        <f>AF151</f>
        <v>86.870130649999965</v>
      </c>
      <c r="AP151" s="355"/>
      <c r="AQ151" s="355"/>
      <c r="AR151" s="355"/>
    </row>
    <row r="152" spans="1:52" ht="15" customHeight="1" x14ac:dyDescent="0.25">
      <c r="B152" s="85" t="s">
        <v>152</v>
      </c>
      <c r="C152" s="85"/>
      <c r="D152" s="85"/>
      <c r="E152" s="85"/>
      <c r="F152" s="85"/>
      <c r="G152" s="85"/>
      <c r="H152" s="85"/>
      <c r="I152" s="85"/>
      <c r="J152" s="85"/>
      <c r="K152" s="85"/>
      <c r="L152" s="85"/>
      <c r="M152" s="85"/>
      <c r="N152" s="85"/>
      <c r="O152" s="85"/>
      <c r="P152" s="85"/>
      <c r="Q152" s="85"/>
      <c r="R152" s="85"/>
      <c r="S152" s="85"/>
      <c r="T152" s="356">
        <v>31.356791340000001</v>
      </c>
      <c r="U152" s="356">
        <v>35.710161979999988</v>
      </c>
      <c r="V152" s="356">
        <v>39.191498160000009</v>
      </c>
      <c r="W152" s="356">
        <v>129.5881512</v>
      </c>
      <c r="X152" s="356">
        <v>124.58817736000002</v>
      </c>
      <c r="Y152" s="356">
        <f t="shared" si="65"/>
        <v>135.30724429</v>
      </c>
      <c r="Z152" s="356"/>
      <c r="AB152" s="356">
        <v>33.231589669999998</v>
      </c>
      <c r="AC152" s="356">
        <v>66.656130960000013</v>
      </c>
      <c r="AD152" s="356">
        <v>100.03879619</v>
      </c>
      <c r="AE152" s="356">
        <v>135.30724429</v>
      </c>
      <c r="AF152" s="356">
        <v>34.504699680000009</v>
      </c>
      <c r="AG152" s="356"/>
      <c r="AH152" s="356"/>
      <c r="AI152" s="356"/>
      <c r="AK152" s="356">
        <f>AB152</f>
        <v>33.231589669999998</v>
      </c>
      <c r="AL152" s="356">
        <f t="shared" si="69"/>
        <v>33.424541290000015</v>
      </c>
      <c r="AM152" s="356">
        <f t="shared" si="69"/>
        <v>33.382665229999986</v>
      </c>
      <c r="AN152" s="356">
        <f t="shared" si="69"/>
        <v>35.268448100000001</v>
      </c>
      <c r="AO152" s="356">
        <f>AF152</f>
        <v>34.504699680000009</v>
      </c>
      <c r="AP152" s="356"/>
      <c r="AQ152" s="356"/>
      <c r="AR152" s="356"/>
    </row>
    <row r="153" spans="1:52" ht="15" customHeight="1" x14ac:dyDescent="0.25">
      <c r="B153" s="87" t="s">
        <v>77</v>
      </c>
      <c r="C153" s="87"/>
      <c r="D153" s="87"/>
      <c r="E153" s="87"/>
      <c r="F153" s="87"/>
      <c r="G153" s="87"/>
      <c r="H153" s="87"/>
      <c r="I153" s="87"/>
      <c r="J153" s="87"/>
      <c r="K153" s="87"/>
      <c r="L153" s="87"/>
      <c r="M153" s="87"/>
      <c r="N153" s="87"/>
      <c r="O153" s="87"/>
      <c r="P153" s="87"/>
      <c r="Q153" s="87"/>
      <c r="R153" s="87"/>
      <c r="S153" s="87"/>
      <c r="T153" s="355">
        <v>113.20482385999996</v>
      </c>
      <c r="U153" s="355">
        <v>118.93169192000002</v>
      </c>
      <c r="V153" s="355">
        <v>127.29263055</v>
      </c>
      <c r="W153" s="355">
        <v>239.29076465000009</v>
      </c>
      <c r="X153" s="355">
        <v>233.12997303999757</v>
      </c>
      <c r="Y153" s="355">
        <f t="shared" si="65"/>
        <v>213.45098114999993</v>
      </c>
      <c r="Z153" s="355"/>
      <c r="AB153" s="355">
        <v>53.820961360000062</v>
      </c>
      <c r="AC153" s="355">
        <v>108.49731297999999</v>
      </c>
      <c r="AD153" s="355">
        <v>164.7471324200001</v>
      </c>
      <c r="AE153" s="355">
        <v>213.45098114999993</v>
      </c>
      <c r="AF153" s="355">
        <v>52.365430970000013</v>
      </c>
      <c r="AG153" s="355"/>
      <c r="AH153" s="355"/>
      <c r="AI153" s="355"/>
      <c r="AK153" s="355">
        <f>AB153</f>
        <v>53.820961360000062</v>
      </c>
      <c r="AL153" s="355">
        <f t="shared" si="69"/>
        <v>54.676351619999927</v>
      </c>
      <c r="AM153" s="355">
        <f t="shared" si="69"/>
        <v>56.24981944000011</v>
      </c>
      <c r="AN153" s="355">
        <f t="shared" si="69"/>
        <v>48.703848729999834</v>
      </c>
      <c r="AO153" s="355">
        <f>AF153</f>
        <v>52.365430970000013</v>
      </c>
      <c r="AP153" s="355"/>
      <c r="AQ153" s="355"/>
      <c r="AR153" s="355"/>
    </row>
    <row r="154" spans="1:52" s="48" customFormat="1" ht="15" customHeight="1" x14ac:dyDescent="0.25">
      <c r="B154" s="88"/>
      <c r="C154" s="88"/>
      <c r="D154" s="88"/>
      <c r="E154" s="88"/>
      <c r="F154" s="88"/>
      <c r="G154" s="88"/>
      <c r="H154" s="88"/>
      <c r="I154" s="88"/>
      <c r="J154" s="88"/>
      <c r="K154" s="88"/>
      <c r="L154" s="88"/>
      <c r="M154" s="88"/>
      <c r="N154" s="88"/>
      <c r="O154" s="88"/>
      <c r="P154" s="88"/>
      <c r="Q154" s="88"/>
      <c r="R154" s="88"/>
      <c r="S154" s="88"/>
      <c r="T154" s="354"/>
      <c r="U154" s="354"/>
      <c r="V154" s="354"/>
      <c r="W154" s="354"/>
      <c r="X154" s="354"/>
      <c r="Y154" s="354"/>
      <c r="Z154" s="354"/>
      <c r="AA154" s="354"/>
      <c r="AB154" s="354"/>
      <c r="AC154" s="354"/>
      <c r="AD154" s="354"/>
      <c r="AE154" s="354"/>
      <c r="AF154" s="354"/>
      <c r="AG154" s="354"/>
      <c r="AH154" s="354"/>
      <c r="AI154" s="354"/>
      <c r="AJ154" s="354"/>
      <c r="AK154" s="354"/>
      <c r="AL154" s="354"/>
      <c r="AM154" s="354"/>
      <c r="AN154" s="354"/>
      <c r="AO154" s="354"/>
      <c r="AP154" s="354"/>
      <c r="AQ154" s="354"/>
      <c r="AR154" s="354"/>
      <c r="AS154" s="354"/>
      <c r="AT154" s="354"/>
      <c r="AU154" s="354"/>
      <c r="AV154" s="354"/>
      <c r="AW154" s="354"/>
      <c r="AX154" s="354"/>
      <c r="AY154" s="354"/>
      <c r="AZ154" s="78"/>
    </row>
    <row r="155" spans="1:52" s="48" customFormat="1" ht="15" customHeight="1" x14ac:dyDescent="0.25">
      <c r="B155" s="174" t="s">
        <v>78</v>
      </c>
      <c r="C155" s="174"/>
      <c r="D155" s="174"/>
      <c r="E155" s="174"/>
      <c r="F155" s="174"/>
      <c r="G155" s="174"/>
      <c r="H155" s="174"/>
      <c r="I155" s="174"/>
      <c r="J155" s="174"/>
      <c r="K155" s="174"/>
      <c r="L155" s="174"/>
      <c r="M155" s="174"/>
      <c r="N155" s="174"/>
      <c r="O155" s="174"/>
      <c r="P155" s="174"/>
      <c r="Q155" s="174"/>
      <c r="R155" s="174"/>
      <c r="S155" s="174"/>
      <c r="T155" s="228">
        <v>2018</v>
      </c>
      <c r="U155" s="228">
        <v>2019</v>
      </c>
      <c r="V155" s="228">
        <v>2020</v>
      </c>
      <c r="W155" s="228">
        <v>2021</v>
      </c>
      <c r="X155" s="228">
        <v>2022</v>
      </c>
      <c r="Y155" s="231">
        <v>2023</v>
      </c>
      <c r="Z155" s="230">
        <v>2024</v>
      </c>
      <c r="AA155" s="354"/>
      <c r="AB155" s="231" t="s">
        <v>291</v>
      </c>
      <c r="AC155" s="231" t="s">
        <v>292</v>
      </c>
      <c r="AD155" s="231" t="s">
        <v>293</v>
      </c>
      <c r="AE155" s="231">
        <v>2023</v>
      </c>
      <c r="AF155" s="232" t="s">
        <v>318</v>
      </c>
      <c r="AG155" s="232" t="s">
        <v>319</v>
      </c>
      <c r="AH155" s="232" t="s">
        <v>320</v>
      </c>
      <c r="AI155" s="232">
        <v>2024</v>
      </c>
      <c r="AJ155" s="354"/>
      <c r="AK155" s="231" t="s">
        <v>291</v>
      </c>
      <c r="AL155" s="231" t="s">
        <v>296</v>
      </c>
      <c r="AM155" s="231" t="s">
        <v>294</v>
      </c>
      <c r="AN155" s="231" t="s">
        <v>295</v>
      </c>
      <c r="AO155" s="232" t="s">
        <v>318</v>
      </c>
      <c r="AP155" s="232" t="s">
        <v>321</v>
      </c>
      <c r="AQ155" s="232" t="s">
        <v>322</v>
      </c>
      <c r="AR155" s="232" t="s">
        <v>323</v>
      </c>
      <c r="AS155" s="354"/>
      <c r="AT155" s="354"/>
      <c r="AU155" s="354"/>
      <c r="AV155" s="354"/>
      <c r="AW155" s="354"/>
      <c r="AX155" s="354"/>
      <c r="AY155" s="354"/>
      <c r="AZ155" s="78"/>
    </row>
    <row r="156" spans="1:52" s="48" customFormat="1" ht="15" customHeight="1" x14ac:dyDescent="0.25">
      <c r="B156" s="50" t="s">
        <v>248</v>
      </c>
      <c r="C156" s="50"/>
      <c r="D156" s="50"/>
      <c r="E156" s="50"/>
      <c r="F156" s="50"/>
      <c r="G156" s="50"/>
      <c r="H156" s="50"/>
      <c r="I156" s="50"/>
      <c r="J156" s="50"/>
      <c r="K156" s="50"/>
      <c r="L156" s="50"/>
      <c r="M156" s="50"/>
      <c r="N156" s="50"/>
      <c r="O156" s="50"/>
      <c r="P156" s="50"/>
      <c r="Q156" s="50"/>
      <c r="R156" s="50"/>
      <c r="S156" s="50"/>
      <c r="T156" s="355">
        <v>950</v>
      </c>
      <c r="U156" s="355">
        <v>950</v>
      </c>
      <c r="V156" s="355">
        <v>1706</v>
      </c>
      <c r="W156" s="355">
        <v>1890.6</v>
      </c>
      <c r="X156" s="355">
        <f>'Operating Data'!X111</f>
        <v>1890.6</v>
      </c>
      <c r="Y156" s="355">
        <f>AE156</f>
        <v>1867.431</v>
      </c>
      <c r="Z156" s="355"/>
      <c r="AA156" s="354"/>
      <c r="AB156" s="355">
        <f>'Operating Data'!AB111</f>
        <v>1867.4</v>
      </c>
      <c r="AC156" s="355">
        <f>'Operating Data'!AC111</f>
        <v>1867.4</v>
      </c>
      <c r="AD156" s="355">
        <f>'Operating Data'!AD111</f>
        <v>1867.4</v>
      </c>
      <c r="AE156" s="355">
        <f>'Operating Data'!AE111</f>
        <v>1867.431</v>
      </c>
      <c r="AF156" s="355">
        <f>'Operating Data'!AF111</f>
        <v>1894.2</v>
      </c>
      <c r="AG156" s="355"/>
      <c r="AH156" s="355"/>
      <c r="AI156" s="355"/>
      <c r="AJ156" s="354"/>
      <c r="AK156" s="355"/>
      <c r="AL156" s="355"/>
      <c r="AM156" s="355"/>
      <c r="AN156" s="355"/>
      <c r="AO156" s="355"/>
      <c r="AP156" s="355"/>
      <c r="AQ156" s="355"/>
      <c r="AR156" s="355"/>
      <c r="AS156" s="354"/>
      <c r="AT156" s="354"/>
      <c r="AU156" s="354"/>
      <c r="AV156" s="354"/>
      <c r="AW156" s="354"/>
      <c r="AX156" s="354"/>
      <c r="AY156" s="354"/>
      <c r="AZ156" s="78"/>
    </row>
    <row r="157" spans="1:52" s="41" customFormat="1" ht="15" customHeight="1" x14ac:dyDescent="0.25">
      <c r="A157" s="48"/>
      <c r="T157" s="379"/>
      <c r="U157" s="379"/>
      <c r="V157" s="379"/>
      <c r="W157" s="379"/>
      <c r="X157" s="379"/>
      <c r="Y157" s="379"/>
      <c r="Z157" s="379"/>
      <c r="AA157" s="223"/>
      <c r="AB157" s="379"/>
      <c r="AC157" s="379"/>
      <c r="AD157" s="379"/>
      <c r="AE157" s="379"/>
      <c r="AF157" s="379"/>
      <c r="AG157" s="379"/>
      <c r="AH157" s="379"/>
      <c r="AI157" s="379"/>
      <c r="AJ157" s="223"/>
      <c r="AK157" s="379"/>
      <c r="AL157" s="379"/>
      <c r="AM157" s="379"/>
      <c r="AN157" s="379"/>
      <c r="AO157" s="379"/>
      <c r="AP157" s="379"/>
      <c r="AQ157" s="379"/>
      <c r="AR157" s="379"/>
      <c r="AS157" s="223"/>
      <c r="AT157" s="223"/>
      <c r="AU157" s="223"/>
      <c r="AV157" s="223"/>
      <c r="AW157" s="223"/>
      <c r="AX157" s="223"/>
      <c r="AY157" s="223"/>
      <c r="AZ157"/>
    </row>
    <row r="158" spans="1:52" s="151" customFormat="1" ht="15" customHeight="1" x14ac:dyDescent="0.25">
      <c r="B158" s="50" t="s">
        <v>126</v>
      </c>
      <c r="C158" s="50"/>
      <c r="D158" s="50"/>
      <c r="E158" s="50"/>
      <c r="F158" s="50"/>
      <c r="G158" s="50"/>
      <c r="H158" s="50"/>
      <c r="I158" s="50"/>
      <c r="J158" s="50"/>
      <c r="K158" s="50"/>
      <c r="L158" s="50"/>
      <c r="M158" s="50"/>
      <c r="N158" s="50"/>
      <c r="O158" s="50"/>
      <c r="P158" s="50"/>
      <c r="Q158" s="50"/>
      <c r="R158" s="50"/>
      <c r="S158" s="50"/>
      <c r="T158" s="379"/>
      <c r="U158" s="379"/>
      <c r="V158" s="379"/>
      <c r="W158" s="379"/>
      <c r="X158" s="379"/>
      <c r="Y158" s="379"/>
      <c r="Z158" s="379"/>
      <c r="AA158" s="383"/>
      <c r="AB158" s="379"/>
      <c r="AC158" s="379"/>
      <c r="AD158" s="379"/>
      <c r="AE158" s="379"/>
      <c r="AF158" s="379"/>
      <c r="AG158" s="379"/>
      <c r="AH158" s="379"/>
      <c r="AI158" s="379"/>
      <c r="AJ158" s="383"/>
      <c r="AK158" s="379"/>
      <c r="AL158" s="379"/>
      <c r="AM158" s="379"/>
      <c r="AN158" s="379"/>
      <c r="AO158" s="379"/>
      <c r="AP158" s="379"/>
      <c r="AQ158" s="379"/>
      <c r="AR158" s="379"/>
      <c r="AS158" s="383"/>
      <c r="AT158" s="383"/>
      <c r="AU158" s="383"/>
      <c r="AV158" s="383"/>
      <c r="AW158" s="383"/>
      <c r="AX158" s="383"/>
      <c r="AY158" s="383"/>
      <c r="AZ158" s="160"/>
    </row>
    <row r="159" spans="1:52" s="41" customFormat="1" ht="15" customHeight="1" x14ac:dyDescent="0.25">
      <c r="B159" s="18" t="s">
        <v>127</v>
      </c>
      <c r="C159" s="18"/>
      <c r="D159" s="18"/>
      <c r="E159" s="18"/>
      <c r="F159" s="18"/>
      <c r="G159" s="18"/>
      <c r="H159" s="18"/>
      <c r="I159" s="18"/>
      <c r="J159" s="18"/>
      <c r="K159" s="18"/>
      <c r="L159" s="18"/>
      <c r="M159" s="18"/>
      <c r="N159" s="18"/>
      <c r="O159" s="18"/>
      <c r="P159" s="18"/>
      <c r="Q159" s="18"/>
      <c r="R159" s="18"/>
      <c r="S159" s="18"/>
      <c r="T159" s="356">
        <v>20708.8619119</v>
      </c>
      <c r="U159" s="356">
        <v>20766.2411565</v>
      </c>
      <c r="V159" s="356">
        <v>52491.503800000006</v>
      </c>
      <c r="W159" s="356">
        <v>52493.235000000001</v>
      </c>
      <c r="X159" s="356">
        <f>'Operating Data'!X124</f>
        <v>52644.083999999988</v>
      </c>
      <c r="Y159" s="356">
        <f t="shared" ref="Y159:Y168" si="70">AE159</f>
        <v>52847.952899999997</v>
      </c>
      <c r="Z159" s="356"/>
      <c r="AA159" s="356"/>
      <c r="AB159" s="356">
        <f>'Operating Data'!AB124</f>
        <v>52683.419000000002</v>
      </c>
      <c r="AC159" s="356">
        <f>'Operating Data'!AC124</f>
        <v>52728.525999999991</v>
      </c>
      <c r="AD159" s="356">
        <f>'Operating Data'!AD124</f>
        <v>52759.008999999991</v>
      </c>
      <c r="AE159" s="356">
        <f>'Operating Data'!AE124</f>
        <v>52847.952899999997</v>
      </c>
      <c r="AF159" s="356">
        <f>'Operating Data'!AF124</f>
        <v>52902.809899999993</v>
      </c>
      <c r="AG159" s="356"/>
      <c r="AH159" s="356"/>
      <c r="AI159" s="356"/>
      <c r="AJ159" s="223"/>
      <c r="AK159" s="356"/>
      <c r="AL159" s="356"/>
      <c r="AM159" s="356"/>
      <c r="AN159" s="356"/>
      <c r="AO159" s="356"/>
      <c r="AP159" s="356"/>
      <c r="AQ159" s="356"/>
      <c r="AR159" s="356"/>
      <c r="AS159" s="223"/>
      <c r="AT159" s="223"/>
      <c r="AU159" s="223"/>
      <c r="AV159" s="223"/>
      <c r="AW159" s="223"/>
      <c r="AX159" s="223"/>
      <c r="AY159" s="223"/>
      <c r="AZ159"/>
    </row>
    <row r="160" spans="1:52" ht="15" customHeight="1" x14ac:dyDescent="0.25">
      <c r="A160" s="41"/>
      <c r="B160" s="18" t="s">
        <v>128</v>
      </c>
      <c r="C160" s="18"/>
      <c r="D160" s="18"/>
      <c r="E160" s="18"/>
      <c r="F160" s="18"/>
      <c r="G160" s="18"/>
      <c r="H160" s="18"/>
      <c r="I160" s="18"/>
      <c r="J160" s="18"/>
      <c r="K160" s="18"/>
      <c r="L160" s="18"/>
      <c r="M160" s="18"/>
      <c r="N160" s="18"/>
      <c r="O160" s="18"/>
      <c r="P160" s="18"/>
      <c r="Q160" s="18"/>
      <c r="R160" s="18"/>
      <c r="S160" s="18"/>
      <c r="T160" s="356">
        <v>6.8810000000000002</v>
      </c>
      <c r="U160" s="356">
        <v>6.8810000000000002</v>
      </c>
      <c r="V160" s="356">
        <v>18.571999999999999</v>
      </c>
      <c r="W160" s="356">
        <v>18.701000000000001</v>
      </c>
      <c r="X160" s="356">
        <f>'Operating Data'!X131</f>
        <v>18.725999999999999</v>
      </c>
      <c r="Y160" s="356">
        <f t="shared" si="70"/>
        <v>18.93</v>
      </c>
      <c r="Z160" s="356"/>
      <c r="AA160" s="356"/>
      <c r="AB160" s="356">
        <f>'Operating Data'!AB131</f>
        <v>18.739999999999998</v>
      </c>
      <c r="AC160" s="356">
        <f>'Operating Data'!AC131</f>
        <v>18.745999999999999</v>
      </c>
      <c r="AD160" s="356">
        <f>'Operating Data'!AD131</f>
        <v>18.745999999999999</v>
      </c>
      <c r="AE160" s="356">
        <f>'Operating Data'!AE131</f>
        <v>18.93</v>
      </c>
      <c r="AF160" s="356">
        <f>'Operating Data'!AF131</f>
        <v>18.771000000000001</v>
      </c>
      <c r="AG160" s="356"/>
      <c r="AH160" s="356"/>
      <c r="AI160" s="356"/>
      <c r="AK160" s="356"/>
      <c r="AL160" s="356"/>
      <c r="AM160" s="356"/>
      <c r="AN160" s="356"/>
      <c r="AO160" s="356"/>
      <c r="AP160" s="356"/>
      <c r="AQ160" s="356"/>
      <c r="AR160" s="356"/>
    </row>
    <row r="161" spans="1:44" ht="15" customHeight="1" x14ac:dyDescent="0.25">
      <c r="A161" s="41"/>
      <c r="B161" s="18" t="s">
        <v>129</v>
      </c>
      <c r="C161" s="18"/>
      <c r="D161" s="18"/>
      <c r="E161" s="18"/>
      <c r="F161" s="18"/>
      <c r="G161" s="18"/>
      <c r="H161" s="18"/>
      <c r="I161" s="18"/>
      <c r="J161" s="18"/>
      <c r="K161" s="18"/>
      <c r="L161" s="18"/>
      <c r="M161" s="18"/>
      <c r="N161" s="18"/>
      <c r="O161" s="18"/>
      <c r="P161" s="18"/>
      <c r="Q161" s="18"/>
      <c r="R161" s="18"/>
      <c r="S161" s="18"/>
      <c r="T161" s="356">
        <v>644.31700000000001</v>
      </c>
      <c r="U161" s="356">
        <v>666.08399999999995</v>
      </c>
      <c r="V161" s="356">
        <v>1368.8430000000001</v>
      </c>
      <c r="W161" s="356">
        <v>1372.72</v>
      </c>
      <c r="X161" s="356">
        <f>'Operating Data'!X136</f>
        <v>1373.145</v>
      </c>
      <c r="Y161" s="356">
        <f t="shared" si="70"/>
        <v>1379.7860000000001</v>
      </c>
      <c r="Z161" s="356"/>
      <c r="AA161" s="356"/>
      <c r="AB161" s="356">
        <f>'Operating Data'!AB136</f>
        <v>1376.1379999999999</v>
      </c>
      <c r="AC161" s="356">
        <f>'Operating Data'!AC136</f>
        <v>1378.0640000000001</v>
      </c>
      <c r="AD161" s="356">
        <f>'Operating Data'!AD136</f>
        <v>1380.087</v>
      </c>
      <c r="AE161" s="356">
        <f>'Operating Data'!AE136</f>
        <v>1379.7860000000001</v>
      </c>
      <c r="AF161" s="356">
        <f>'Operating Data'!AF136</f>
        <v>1374.991</v>
      </c>
      <c r="AG161" s="356"/>
      <c r="AH161" s="356"/>
      <c r="AI161" s="356"/>
      <c r="AK161" s="356"/>
      <c r="AL161" s="356"/>
      <c r="AM161" s="356"/>
      <c r="AN161" s="356"/>
      <c r="AO161" s="356"/>
      <c r="AP161" s="356"/>
      <c r="AQ161" s="356"/>
      <c r="AR161" s="356"/>
    </row>
    <row r="162" spans="1:44" ht="15" customHeight="1" x14ac:dyDescent="0.25">
      <c r="B162" s="21"/>
      <c r="C162" s="21"/>
      <c r="D162" s="21"/>
      <c r="E162" s="21"/>
      <c r="F162" s="21"/>
      <c r="G162" s="21"/>
      <c r="H162" s="21"/>
      <c r="I162" s="21"/>
      <c r="J162" s="21"/>
      <c r="K162" s="21"/>
      <c r="L162" s="21"/>
      <c r="M162" s="21"/>
      <c r="N162" s="21"/>
      <c r="O162" s="21"/>
      <c r="P162" s="21"/>
      <c r="Q162" s="21"/>
      <c r="R162" s="21"/>
      <c r="S162" s="21"/>
      <c r="T162" s="380"/>
      <c r="U162" s="380"/>
      <c r="V162" s="380"/>
      <c r="W162" s="380"/>
      <c r="X162" s="380"/>
      <c r="Y162" s="380">
        <f t="shared" si="70"/>
        <v>0</v>
      </c>
      <c r="Z162" s="380"/>
      <c r="AB162" s="380"/>
      <c r="AC162" s="380"/>
      <c r="AD162" s="380"/>
      <c r="AE162" s="380"/>
      <c r="AF162" s="380"/>
      <c r="AG162" s="380"/>
      <c r="AH162" s="380"/>
      <c r="AI162" s="380"/>
      <c r="AK162" s="380"/>
      <c r="AL162" s="356"/>
      <c r="AM162" s="356"/>
      <c r="AN162" s="356"/>
      <c r="AO162" s="356"/>
      <c r="AP162" s="356"/>
      <c r="AQ162" s="356"/>
      <c r="AR162" s="356"/>
    </row>
    <row r="163" spans="1:44" ht="15" customHeight="1" x14ac:dyDescent="0.25">
      <c r="B163" s="48" t="s">
        <v>130</v>
      </c>
      <c r="C163" s="48"/>
      <c r="D163" s="48"/>
      <c r="E163" s="48"/>
      <c r="F163" s="48"/>
      <c r="G163" s="48"/>
      <c r="H163" s="48"/>
      <c r="I163" s="48"/>
      <c r="J163" s="48"/>
      <c r="K163" s="48"/>
      <c r="L163" s="48"/>
      <c r="M163" s="48"/>
      <c r="N163" s="48"/>
      <c r="O163" s="48"/>
      <c r="P163" s="48"/>
      <c r="Q163" s="48"/>
      <c r="R163" s="48"/>
      <c r="S163" s="48"/>
      <c r="T163" s="355">
        <v>666.40299999999991</v>
      </c>
      <c r="U163" s="355">
        <v>668.49400000000003</v>
      </c>
      <c r="V163" s="355">
        <v>1370.902</v>
      </c>
      <c r="W163" s="355">
        <v>1376.4780000000001</v>
      </c>
      <c r="X163" s="355">
        <f>'Operating Data'!X144</f>
        <v>1383.123</v>
      </c>
      <c r="Y163" s="355">
        <f t="shared" si="70"/>
        <v>1390.5250000000001</v>
      </c>
      <c r="Z163" s="355"/>
      <c r="AA163" s="355"/>
      <c r="AB163" s="355">
        <f>'Operating Data'!AB144</f>
        <v>1384.337</v>
      </c>
      <c r="AC163" s="355">
        <f>'Operating Data'!AC144</f>
        <v>1386.2739999999999</v>
      </c>
      <c r="AD163" s="355">
        <f>'Operating Data'!AD144</f>
        <v>1388.2739999999999</v>
      </c>
      <c r="AE163" s="355">
        <f>'Operating Data'!AE144</f>
        <v>1390.5250000000001</v>
      </c>
      <c r="AF163" s="355">
        <f>'Operating Data'!AF144</f>
        <v>1391.933</v>
      </c>
      <c r="AG163" s="355"/>
      <c r="AH163" s="355"/>
      <c r="AI163" s="355"/>
      <c r="AK163" s="355"/>
      <c r="AL163" s="355"/>
      <c r="AM163" s="355"/>
      <c r="AN163" s="355"/>
      <c r="AO163" s="355"/>
      <c r="AP163" s="355"/>
      <c r="AQ163" s="355"/>
      <c r="AR163" s="355"/>
    </row>
    <row r="164" spans="1:44" ht="15" customHeight="1" x14ac:dyDescent="0.25">
      <c r="B164" s="158" t="s">
        <v>131</v>
      </c>
      <c r="C164" s="158"/>
      <c r="D164" s="158"/>
      <c r="E164" s="158"/>
      <c r="F164" s="158"/>
      <c r="G164" s="158"/>
      <c r="H164" s="158"/>
      <c r="I164" s="158"/>
      <c r="J164" s="158"/>
      <c r="K164" s="158"/>
      <c r="L164" s="158"/>
      <c r="M164" s="158"/>
      <c r="N164" s="158"/>
      <c r="O164" s="158"/>
      <c r="P164" s="158"/>
      <c r="Q164" s="158"/>
      <c r="R164" s="158"/>
      <c r="S164" s="158"/>
      <c r="T164" s="367" t="s">
        <v>17</v>
      </c>
      <c r="U164" s="367">
        <f>IFERROR(IF(OR(U163/T163-1&gt;2,U163/T163-1&lt;-0.95),"-",U163/T163-1),"-")</f>
        <v>3.1377409765565023E-3</v>
      </c>
      <c r="V164" s="368">
        <f>IFERROR(IF(OR(V163/U163-1&gt;2,V163/U163-1&lt;-0.95),"-",V163/U163-1),"-")</f>
        <v>1.0507319437422025</v>
      </c>
      <c r="W164" s="369">
        <f>IFERROR(IF(OR(W163/V163-1&gt;2,W163/V163-1&lt;-0.95),"-",W163/V163-1),"-")</f>
        <v>4.0673950435552442E-3</v>
      </c>
      <c r="X164" s="369" t="str">
        <f>IFERROR(IF(OR(X163/Q163-1&gt;2,X163/Q163-1&lt;-0.95),"-",X163/Q163-1),"-")</f>
        <v>-</v>
      </c>
      <c r="Y164" s="369" t="str">
        <f t="shared" si="70"/>
        <v>-</v>
      </c>
      <c r="Z164" s="367"/>
      <c r="AB164" s="369" t="str">
        <f>IFERROR(IF(OR(AB163/#REF!-1&gt;2,AB163/#REF!-1&lt;-0.95),"-",AB163/#REF!-1),"-")</f>
        <v>-</v>
      </c>
      <c r="AC164" s="369" t="str">
        <f>IFERROR(IF(OR(AC163/#REF!-1&gt;2,AC163/#REF!-1&lt;-0.95),"-",AC163/#REF!-1),"-")</f>
        <v>-</v>
      </c>
      <c r="AD164" s="369" t="str">
        <f>IFERROR(IF(OR(AD163/#REF!-1&gt;2,AD163/#REF!-1&lt;-0.95),"-",AD163/#REF!-1),"-")</f>
        <v>-</v>
      </c>
      <c r="AE164" s="369" t="str">
        <f>IFERROR(IF(OR(AE163/#REF!-1&gt;2,AE163/#REF!-1&lt;-0.95),"-",AE163/#REF!-1),"-")</f>
        <v>-</v>
      </c>
      <c r="AF164" s="369" t="str">
        <f>IFERROR(IF(OR(AF163/#REF!-1&gt;2,AF163/#REF!-1&lt;-0.95),"-",AF163/#REF!-1),"-")</f>
        <v>-</v>
      </c>
      <c r="AG164" s="369"/>
      <c r="AH164" s="369"/>
      <c r="AI164" s="369"/>
      <c r="AK164" s="367"/>
      <c r="AL164" s="367"/>
      <c r="AM164" s="367"/>
      <c r="AN164" s="367"/>
      <c r="AO164" s="367"/>
      <c r="AP164" s="367"/>
      <c r="AQ164" s="367"/>
      <c r="AR164" s="367"/>
    </row>
    <row r="165" spans="1:44" ht="15" customHeight="1" x14ac:dyDescent="0.25">
      <c r="B165" s="43" t="s">
        <v>143</v>
      </c>
      <c r="C165" s="43"/>
      <c r="D165" s="43"/>
      <c r="E165" s="43"/>
      <c r="F165" s="43"/>
      <c r="G165" s="43"/>
      <c r="H165" s="43"/>
      <c r="I165" s="43"/>
      <c r="J165" s="43"/>
      <c r="K165" s="43"/>
      <c r="L165" s="43"/>
      <c r="M165" s="43"/>
      <c r="N165" s="43"/>
      <c r="O165" s="43"/>
      <c r="P165" s="43"/>
      <c r="Q165" s="43"/>
      <c r="R165" s="43"/>
      <c r="S165" s="43"/>
      <c r="T165" s="356">
        <v>1.151</v>
      </c>
      <c r="U165" s="356">
        <v>1.155</v>
      </c>
      <c r="V165" s="356">
        <v>2.5270000000000001</v>
      </c>
      <c r="W165" s="356">
        <v>2.58</v>
      </c>
      <c r="X165" s="356">
        <f>'Operating Data'!X145</f>
        <v>2.605</v>
      </c>
      <c r="Y165" s="356">
        <f t="shared" si="70"/>
        <v>2.601</v>
      </c>
      <c r="Z165" s="356"/>
      <c r="AA165" s="356"/>
      <c r="AB165" s="356">
        <f>'Operating Data'!AB145</f>
        <v>2.585</v>
      </c>
      <c r="AC165" s="356">
        <f>'Operating Data'!AC145</f>
        <v>2.589</v>
      </c>
      <c r="AD165" s="356">
        <f>'Operating Data'!AD145</f>
        <v>2.5960000000000001</v>
      </c>
      <c r="AE165" s="356">
        <f>'Operating Data'!AE145</f>
        <v>2.601</v>
      </c>
      <c r="AF165" s="356">
        <f>'Operating Data'!AF145</f>
        <v>2.6110000000000002</v>
      </c>
      <c r="AG165" s="356"/>
      <c r="AH165" s="356"/>
      <c r="AI165" s="356"/>
      <c r="AK165" s="356"/>
      <c r="AL165" s="356"/>
      <c r="AM165" s="356"/>
      <c r="AN165" s="356"/>
      <c r="AO165" s="356"/>
      <c r="AP165" s="356"/>
      <c r="AQ165" s="356"/>
      <c r="AR165" s="356"/>
    </row>
    <row r="166" spans="1:44" ht="15" customHeight="1" x14ac:dyDescent="0.25">
      <c r="B166" s="158" t="s">
        <v>131</v>
      </c>
      <c r="C166" s="158"/>
      <c r="D166" s="158"/>
      <c r="E166" s="158"/>
      <c r="F166" s="158"/>
      <c r="G166" s="158"/>
      <c r="H166" s="158"/>
      <c r="I166" s="158"/>
      <c r="J166" s="158"/>
      <c r="K166" s="158"/>
      <c r="L166" s="158"/>
      <c r="M166" s="158"/>
      <c r="N166" s="158"/>
      <c r="O166" s="158"/>
      <c r="P166" s="158"/>
      <c r="Q166" s="158"/>
      <c r="R166" s="158"/>
      <c r="S166" s="158"/>
      <c r="T166" s="367" t="s">
        <v>17</v>
      </c>
      <c r="U166" s="367">
        <f>IFERROR(IF(OR(U165/T165-1&gt;2,U165/T165-1&lt;-0.95),"-",U165/T165-1),"-")</f>
        <v>3.4752389226759828E-3</v>
      </c>
      <c r="V166" s="368">
        <f>IFERROR(IF(OR(V165/U165-1&gt;2,V165/U165-1&lt;-0.95),"-",V165/U165-1),"-")</f>
        <v>1.187878787878788</v>
      </c>
      <c r="W166" s="369">
        <f>IFERROR(IF(OR(W165/V165-1&gt;2,W165/V165-1&lt;-0.95),"-",W165/V165-1),"-")</f>
        <v>2.0973486347447556E-2</v>
      </c>
      <c r="X166" s="369" t="str">
        <f>IFERROR(IF(OR(X165/Q165-1&gt;2,X165/Q165-1&lt;-0.95),"-",X165/Q165-1),"-")</f>
        <v>-</v>
      </c>
      <c r="Y166" s="369" t="str">
        <f t="shared" si="70"/>
        <v>-</v>
      </c>
      <c r="Z166" s="367"/>
      <c r="AB166" s="369" t="str">
        <f>IFERROR(IF(OR(AB165/#REF!-1&gt;2,AB165/#REF!-1&lt;-0.95),"-",AB165/#REF!-1),"-")</f>
        <v>-</v>
      </c>
      <c r="AC166" s="369" t="str">
        <f>IFERROR(IF(OR(AC165/#REF!-1&gt;2,AC165/#REF!-1&lt;-0.95),"-",AC165/#REF!-1),"-")</f>
        <v>-</v>
      </c>
      <c r="AD166" s="369" t="str">
        <f>IFERROR(IF(OR(AD165/#REF!-1&gt;2,AD165/#REF!-1&lt;-0.95),"-",AD165/#REF!-1),"-")</f>
        <v>-</v>
      </c>
      <c r="AE166" s="369" t="str">
        <f>IFERROR(IF(OR(AE165/#REF!-1&gt;2,AE165/#REF!-1&lt;-0.95),"-",AE165/#REF!-1),"-")</f>
        <v>-</v>
      </c>
      <c r="AF166" s="369" t="str">
        <f>IFERROR(IF(OR(AF165/#REF!-1&gt;2,AF165/#REF!-1&lt;-0.95),"-",AF165/#REF!-1),"-")</f>
        <v>-</v>
      </c>
      <c r="AG166" s="369"/>
      <c r="AH166" s="369"/>
      <c r="AI166" s="369"/>
      <c r="AK166" s="367"/>
      <c r="AL166" s="367"/>
      <c r="AM166" s="367"/>
      <c r="AN166" s="367"/>
      <c r="AO166" s="367"/>
      <c r="AP166" s="367"/>
      <c r="AQ166" s="367"/>
      <c r="AR166" s="367"/>
    </row>
    <row r="167" spans="1:44" ht="15" customHeight="1" x14ac:dyDescent="0.25">
      <c r="B167" s="43" t="s">
        <v>141</v>
      </c>
      <c r="C167" s="43"/>
      <c r="D167" s="43"/>
      <c r="E167" s="43"/>
      <c r="F167" s="43"/>
      <c r="G167" s="43"/>
      <c r="H167" s="43"/>
      <c r="I167" s="43"/>
      <c r="J167" s="43"/>
      <c r="K167" s="43"/>
      <c r="L167" s="43"/>
      <c r="M167" s="43"/>
      <c r="N167" s="43"/>
      <c r="O167" s="43"/>
      <c r="P167" s="43"/>
      <c r="Q167" s="43"/>
      <c r="R167" s="43"/>
      <c r="S167" s="43"/>
      <c r="T167" s="356">
        <v>665.25199999999995</v>
      </c>
      <c r="U167" s="356">
        <v>667.33900000000006</v>
      </c>
      <c r="V167" s="356">
        <v>1368.375</v>
      </c>
      <c r="W167" s="356">
        <v>1373.8979999999999</v>
      </c>
      <c r="X167" s="356">
        <f>'Operating Data'!X146</f>
        <v>1380.518</v>
      </c>
      <c r="Y167" s="356">
        <f t="shared" si="70"/>
        <v>1387.905</v>
      </c>
      <c r="Z167" s="356"/>
      <c r="AA167" s="356"/>
      <c r="AB167" s="356">
        <f>'Operating Data'!AB146</f>
        <v>1381.7329999999999</v>
      </c>
      <c r="AC167" s="356">
        <f>'Operating Data'!AC146</f>
        <v>1383.6659999999999</v>
      </c>
      <c r="AD167" s="356">
        <f>'Operating Data'!AD146</f>
        <v>1385.6590000000001</v>
      </c>
      <c r="AE167" s="356">
        <f>'Operating Data'!AE146</f>
        <v>1387.905</v>
      </c>
      <c r="AF167" s="356">
        <f>'Operating Data'!AF146</f>
        <v>1389.3030000000001</v>
      </c>
      <c r="AG167" s="356"/>
      <c r="AH167" s="356"/>
      <c r="AI167" s="356"/>
      <c r="AK167" s="356"/>
      <c r="AL167" s="356"/>
      <c r="AM167" s="356"/>
      <c r="AN167" s="356"/>
      <c r="AO167" s="356"/>
      <c r="AP167" s="356"/>
      <c r="AQ167" s="356"/>
      <c r="AR167" s="356"/>
    </row>
    <row r="168" spans="1:44" ht="15" customHeight="1" x14ac:dyDescent="0.25">
      <c r="B168" s="158" t="s">
        <v>131</v>
      </c>
      <c r="C168" s="158"/>
      <c r="D168" s="158"/>
      <c r="E168" s="158"/>
      <c r="F168" s="158"/>
      <c r="G168" s="158"/>
      <c r="H168" s="158"/>
      <c r="I168" s="158"/>
      <c r="J168" s="158"/>
      <c r="K168" s="158"/>
      <c r="L168" s="158"/>
      <c r="M168" s="158"/>
      <c r="N168" s="158"/>
      <c r="O168" s="158"/>
      <c r="P168" s="158"/>
      <c r="Q168" s="158"/>
      <c r="R168" s="158"/>
      <c r="S168" s="158"/>
      <c r="T168" s="367" t="s">
        <v>17</v>
      </c>
      <c r="U168" s="367">
        <f>IFERROR(IF(OR(U167/T167-1&gt;2,U167/T167-1&lt;-0.95),"-",U167/T167-1),"-")</f>
        <v>3.1371570472544796E-3</v>
      </c>
      <c r="V168" s="368">
        <f>IFERROR(IF(OR(V167/U167-1&gt;2,V167/U167-1&lt;-0.95),"-",V167/U167-1),"-")</f>
        <v>1.0504945762198821</v>
      </c>
      <c r="W168" s="369">
        <f>IFERROR(IF(OR(W167/V167-1&gt;2,W167/V167-1&lt;-0.95),"-",W167/V167-1),"-")</f>
        <v>4.0361742943271217E-3</v>
      </c>
      <c r="X168" s="369" t="str">
        <f>IFERROR(IF(OR(X167/Q167-1&gt;2,X167/Q167-1&lt;-0.95),"-",X167/Q167-1),"-")</f>
        <v>-</v>
      </c>
      <c r="Y168" s="369" t="str">
        <f t="shared" si="70"/>
        <v>-</v>
      </c>
      <c r="Z168" s="367"/>
      <c r="AB168" s="369" t="str">
        <f>IFERROR(IF(OR(AB167/#REF!-1&gt;2,AB167/#REF!-1&lt;-0.95),"-",AB167/#REF!-1),"-")</f>
        <v>-</v>
      </c>
      <c r="AC168" s="369" t="str">
        <f>IFERROR(IF(OR(AC167/#REF!-1&gt;2,AC167/#REF!-1&lt;-0.95),"-",AC167/#REF!-1),"-")</f>
        <v>-</v>
      </c>
      <c r="AD168" s="369" t="str">
        <f>IFERROR(IF(OR(AD167/#REF!-1&gt;2,AD167/#REF!-1&lt;-0.95),"-",AD167/#REF!-1),"-")</f>
        <v>-</v>
      </c>
      <c r="AE168" s="369" t="str">
        <f>IFERROR(IF(OR(AE167/#REF!-1&gt;2,AE167/#REF!-1&lt;-0.95),"-",AE167/#REF!-1),"-")</f>
        <v>-</v>
      </c>
      <c r="AF168" s="369" t="str">
        <f>IFERROR(IF(OR(AF167/#REF!-1&gt;2,AF167/#REF!-1&lt;-0.95),"-",AF167/#REF!-1),"-")</f>
        <v>-</v>
      </c>
      <c r="AG168" s="369"/>
      <c r="AH168" s="369"/>
      <c r="AI168" s="369"/>
      <c r="AK168" s="367"/>
      <c r="AL168" s="367"/>
      <c r="AM168" s="367"/>
      <c r="AN168" s="367"/>
      <c r="AO168" s="367"/>
      <c r="AP168" s="367"/>
      <c r="AQ168" s="367"/>
      <c r="AR168" s="367"/>
    </row>
    <row r="170" spans="1:44" ht="15" customHeight="1" x14ac:dyDescent="0.25">
      <c r="B170" s="34" t="s">
        <v>132</v>
      </c>
      <c r="C170" s="34"/>
      <c r="D170" s="34"/>
      <c r="E170" s="34"/>
      <c r="F170" s="34"/>
      <c r="G170" s="34"/>
      <c r="H170" s="34"/>
      <c r="I170" s="34"/>
      <c r="J170" s="34"/>
      <c r="K170" s="34"/>
      <c r="L170" s="34"/>
      <c r="M170" s="34"/>
      <c r="N170" s="34"/>
      <c r="O170" s="34"/>
      <c r="P170" s="34"/>
      <c r="Q170" s="34"/>
      <c r="R170" s="34"/>
      <c r="S170" s="34"/>
    </row>
    <row r="171" spans="1:44" ht="15" customHeight="1" x14ac:dyDescent="0.25">
      <c r="B171" s="18" t="s">
        <v>249</v>
      </c>
      <c r="C171" s="18"/>
      <c r="D171" s="18"/>
      <c r="E171" s="18"/>
      <c r="F171" s="18"/>
      <c r="G171" s="18"/>
      <c r="H171" s="18"/>
      <c r="I171" s="18"/>
      <c r="J171" s="18"/>
      <c r="K171" s="18"/>
      <c r="L171" s="18"/>
      <c r="M171" s="18"/>
      <c r="N171" s="18"/>
      <c r="O171" s="18"/>
      <c r="P171" s="18"/>
      <c r="Q171" s="18"/>
      <c r="R171" s="18"/>
      <c r="S171" s="18"/>
      <c r="T171" s="381">
        <v>3.4127446861680552E-2</v>
      </c>
      <c r="U171" s="381">
        <v>3.6363582026402011E-2</v>
      </c>
      <c r="V171" s="381">
        <v>3.8477847958883413E-2</v>
      </c>
      <c r="W171" s="381" vm="440">
        <v>4.6666709915970252E-2</v>
      </c>
      <c r="X171" s="381" vm="329">
        <f>'Operating Data'!X157</f>
        <v>4.8220390431626084E-2</v>
      </c>
      <c r="Y171" s="381" vm="280">
        <f>AE171</f>
        <v>4.7710651123865001E-2</v>
      </c>
      <c r="Z171" s="381"/>
      <c r="AA171" s="381"/>
      <c r="AB171" s="381" vm="60">
        <f>'Operating Data'!AB157</f>
        <v>5.8211278935175137E-2</v>
      </c>
      <c r="AC171" s="381" vm="258">
        <f>'Operating Data'!AC157</f>
        <v>5.0125276702550119E-2</v>
      </c>
      <c r="AD171" s="381" vm="213">
        <f>'Operating Data'!AD157</f>
        <v>4.530198885834659E-2</v>
      </c>
      <c r="AE171" s="381" vm="280">
        <f>'Operating Data'!AE157</f>
        <v>4.7710651123865001E-2</v>
      </c>
      <c r="AF171" s="381" vm="481">
        <f>'Operating Data'!AF157</f>
        <v>5.934976254734757E-2</v>
      </c>
      <c r="AG171" s="381"/>
      <c r="AH171" s="381"/>
      <c r="AI171" s="381"/>
      <c r="AK171" s="381"/>
      <c r="AL171" s="356"/>
      <c r="AM171" s="356"/>
      <c r="AN171" s="356"/>
      <c r="AO171" s="356"/>
      <c r="AP171" s="356"/>
      <c r="AQ171" s="356"/>
      <c r="AR171" s="356"/>
    </row>
    <row r="172" spans="1:44" ht="15" customHeight="1" x14ac:dyDescent="0.25">
      <c r="B172" s="18" t="s">
        <v>137</v>
      </c>
      <c r="C172" s="18"/>
      <c r="D172" s="18"/>
      <c r="E172" s="18"/>
      <c r="F172" s="18"/>
      <c r="G172" s="18"/>
      <c r="H172" s="18"/>
      <c r="I172" s="18"/>
      <c r="J172" s="18"/>
      <c r="K172" s="18"/>
      <c r="L172" s="18"/>
      <c r="M172" s="18"/>
      <c r="N172" s="18"/>
      <c r="O172" s="18"/>
      <c r="P172" s="18"/>
      <c r="Q172" s="18"/>
      <c r="R172" s="18"/>
      <c r="S172" s="18"/>
      <c r="T172" s="381" t="s">
        <v>17</v>
      </c>
      <c r="U172" s="381">
        <v>0.99529833728858252</v>
      </c>
      <c r="V172" s="381">
        <v>0.98852960825018876</v>
      </c>
      <c r="W172" s="381">
        <v>0.99153639018161288</v>
      </c>
      <c r="X172" s="381">
        <f>'Operating Data'!X168</f>
        <v>0.73413515646934313</v>
      </c>
      <c r="Y172" s="381">
        <f>AE172</f>
        <v>0.71073862887429418</v>
      </c>
      <c r="Z172" s="381"/>
      <c r="AA172" s="381"/>
      <c r="AB172" s="381">
        <f>'Operating Data'!AB168</f>
        <v>0.74362447437844759</v>
      </c>
      <c r="AC172" s="381">
        <f>'Operating Data'!AC168</f>
        <v>0.73202168110362531</v>
      </c>
      <c r="AD172" s="381">
        <f>'Operating Data'!AD168</f>
        <v>0.71753470635249528</v>
      </c>
      <c r="AE172" s="381">
        <f>'Operating Data'!AE168</f>
        <v>0.71073862887429418</v>
      </c>
      <c r="AF172" s="381">
        <f>'Operating Data'!AF168</f>
        <v>0.65778273559238198</v>
      </c>
      <c r="AG172" s="381"/>
      <c r="AH172" s="381"/>
      <c r="AI172" s="381"/>
      <c r="AK172" s="381"/>
      <c r="AL172" s="356"/>
      <c r="AM172" s="356"/>
      <c r="AN172" s="356"/>
      <c r="AO172" s="356"/>
      <c r="AP172" s="356"/>
      <c r="AQ172" s="356"/>
      <c r="AR172" s="356"/>
    </row>
    <row r="173" spans="1:44" ht="15" customHeight="1" x14ac:dyDescent="0.25">
      <c r="B173" s="159" t="s">
        <v>138</v>
      </c>
      <c r="C173" s="159"/>
      <c r="D173" s="159"/>
      <c r="E173" s="159"/>
      <c r="F173" s="159"/>
      <c r="G173" s="159"/>
      <c r="H173" s="159"/>
      <c r="I173" s="159"/>
      <c r="J173" s="159"/>
      <c r="K173" s="159"/>
      <c r="L173" s="159"/>
      <c r="M173" s="159"/>
      <c r="N173" s="159"/>
      <c r="O173" s="159"/>
      <c r="P173" s="159"/>
      <c r="Q173" s="159"/>
      <c r="R173" s="159"/>
      <c r="S173" s="159"/>
      <c r="T173" s="381" t="s">
        <v>350</v>
      </c>
      <c r="U173" s="381">
        <v>1</v>
      </c>
      <c r="V173" s="381">
        <v>1</v>
      </c>
      <c r="W173" s="381">
        <v>0.99351652194183804</v>
      </c>
      <c r="X173" s="381">
        <f>'Operating Data'!X172</f>
        <v>0.99720568476016735</v>
      </c>
      <c r="Y173" s="381">
        <f>AE173</f>
        <v>0.99388022345734572</v>
      </c>
      <c r="Z173" s="381"/>
      <c r="AA173" s="381"/>
      <c r="AB173" s="381">
        <f>'Operating Data'!AB172</f>
        <v>0.99301686646827569</v>
      </c>
      <c r="AC173" s="381">
        <f>'Operating Data'!AC172</f>
        <v>0.99305254063786386</v>
      </c>
      <c r="AD173" s="381">
        <f>'Operating Data'!AD172</f>
        <v>0.99353892469164584</v>
      </c>
      <c r="AE173" s="381">
        <f>'Operating Data'!AE172</f>
        <v>0.99388022345734572</v>
      </c>
      <c r="AF173" s="381">
        <f>'Operating Data'!AF172</f>
        <v>0.99440449963656707</v>
      </c>
      <c r="AG173" s="381"/>
      <c r="AH173" s="381"/>
      <c r="AI173" s="381"/>
      <c r="AK173" s="381"/>
      <c r="AL173" s="356"/>
      <c r="AM173" s="356"/>
      <c r="AN173" s="356"/>
      <c r="AO173" s="356"/>
      <c r="AP173" s="356"/>
      <c r="AQ173" s="356"/>
      <c r="AR173" s="356"/>
    </row>
    <row r="174" spans="1:44" ht="15" customHeight="1" x14ac:dyDescent="0.25">
      <c r="B174" s="48"/>
      <c r="C174" s="48"/>
      <c r="D174" s="48"/>
      <c r="E174" s="48"/>
      <c r="F174" s="48"/>
      <c r="G174" s="48"/>
      <c r="H174" s="48"/>
      <c r="I174" s="48"/>
      <c r="J174" s="48"/>
      <c r="K174" s="48"/>
      <c r="L174" s="48"/>
      <c r="M174" s="48"/>
      <c r="N174" s="48"/>
      <c r="O174" s="48"/>
      <c r="P174" s="48"/>
      <c r="Q174" s="48"/>
      <c r="R174" s="48"/>
      <c r="S174" s="48"/>
    </row>
    <row r="175" spans="1:44" ht="15" customHeight="1" x14ac:dyDescent="0.25">
      <c r="B175" s="34" t="s">
        <v>139</v>
      </c>
      <c r="C175" s="34"/>
      <c r="D175" s="34"/>
      <c r="E175" s="34"/>
      <c r="F175" s="34"/>
      <c r="G175" s="34"/>
      <c r="H175" s="34"/>
      <c r="I175" s="34"/>
      <c r="J175" s="34"/>
      <c r="K175" s="34"/>
      <c r="L175" s="34"/>
      <c r="M175" s="34"/>
      <c r="N175" s="34"/>
      <c r="O175" s="34"/>
      <c r="P175" s="34"/>
      <c r="Q175" s="34"/>
      <c r="R175" s="34"/>
      <c r="S175" s="34"/>
      <c r="T175" s="355">
        <v>9360.379332549619</v>
      </c>
      <c r="U175" s="355">
        <v>8261.5793805285102</v>
      </c>
      <c r="V175" s="355">
        <v>7558.9973057150009</v>
      </c>
      <c r="W175" s="355">
        <v>14116.703346885999</v>
      </c>
      <c r="X175" s="355">
        <f>'Operating Data'!X180</f>
        <v>13285.903787007999</v>
      </c>
      <c r="Y175" s="355">
        <f t="shared" ref="Y175:Y180" si="71">AE175</f>
        <v>12682.462229151999</v>
      </c>
      <c r="Z175" s="355"/>
      <c r="AA175" s="355"/>
      <c r="AB175" s="355">
        <f>'Operating Data'!AB180</f>
        <v>3255.2902309649999</v>
      </c>
      <c r="AC175" s="355">
        <f>'Operating Data'!AC180</f>
        <v>6354.1225266410001</v>
      </c>
      <c r="AD175" s="355">
        <f>'Operating Data'!AD180</f>
        <v>9472.926239294</v>
      </c>
      <c r="AE175" s="355">
        <f>'Operating Data'!AE180</f>
        <v>12682.462229151999</v>
      </c>
      <c r="AF175" s="355">
        <f>'Operating Data'!AF180</f>
        <v>3336.5729170160002</v>
      </c>
      <c r="AG175" s="355"/>
      <c r="AH175" s="355"/>
      <c r="AI175" s="355"/>
      <c r="AK175" s="356"/>
      <c r="AL175" s="356"/>
      <c r="AM175" s="356"/>
      <c r="AN175" s="356"/>
      <c r="AO175" s="356"/>
      <c r="AP175" s="356"/>
      <c r="AQ175" s="356"/>
      <c r="AR175" s="356"/>
    </row>
    <row r="176" spans="1:44" ht="15" customHeight="1" x14ac:dyDescent="0.25">
      <c r="B176" s="158" t="s">
        <v>131</v>
      </c>
      <c r="C176" s="158"/>
      <c r="D176" s="158"/>
      <c r="E176" s="158"/>
      <c r="F176" s="158"/>
      <c r="G176" s="158"/>
      <c r="H176" s="158"/>
      <c r="I176" s="158"/>
      <c r="J176" s="158"/>
      <c r="K176" s="158"/>
      <c r="L176" s="158"/>
      <c r="M176" s="158"/>
      <c r="N176" s="158"/>
      <c r="O176" s="158"/>
      <c r="P176" s="158"/>
      <c r="Q176" s="158"/>
      <c r="R176" s="158"/>
      <c r="S176" s="158"/>
      <c r="T176" s="367" t="s">
        <v>17</v>
      </c>
      <c r="U176" s="367">
        <f>IFERROR(IF(OR(U175/T175-1&gt;2,U175/T175-1&lt;-0.95),"-",U175/T175-1),"-")</f>
        <v>-0.11738839986966776</v>
      </c>
      <c r="V176" s="368">
        <f>IFERROR(IF(OR(V175/U175-1&gt;2,V175/U175-1&lt;-0.95),"-",V175/U175-1),"-")</f>
        <v>-8.5042101812809023E-2</v>
      </c>
      <c r="W176" s="369">
        <f>IFERROR(IF(OR(W175/V175-1&gt;2,W175/V175-1&lt;-0.95),"-",W175/V175-1),"-")</f>
        <v>0.86753649670082922</v>
      </c>
      <c r="X176" s="369" t="str">
        <f>IFERROR(IF(OR(X175/Q175-1&gt;2,X175/Q175-1&lt;-0.95),"-",X175/Q175-1),"-")</f>
        <v>-</v>
      </c>
      <c r="Y176" s="369" t="str">
        <f t="shared" si="71"/>
        <v>-</v>
      </c>
      <c r="Z176" s="367"/>
      <c r="AB176" s="369" t="str">
        <f>IFERROR(IF(OR(AB175/#REF!-1&gt;2,AB175/#REF!-1&lt;-0.95),"-",AB175/#REF!-1),"-")</f>
        <v>-</v>
      </c>
      <c r="AC176" s="369" t="str">
        <f>IFERROR(IF(OR(AC175/#REF!-1&gt;2,AC175/#REF!-1&lt;-0.95),"-",AC175/#REF!-1),"-")</f>
        <v>-</v>
      </c>
      <c r="AD176" s="369" t="str">
        <f>IFERROR(IF(OR(AD175/#REF!-1&gt;2,AD175/#REF!-1&lt;-0.95),"-",AD175/#REF!-1),"-")</f>
        <v>-</v>
      </c>
      <c r="AE176" s="369" t="str">
        <f>IFERROR(IF(OR(AE175/#REF!-1&gt;2,AE175/#REF!-1&lt;-0.95),"-",AE175/#REF!-1),"-")</f>
        <v>-</v>
      </c>
      <c r="AF176" s="369" t="str">
        <f>IFERROR(IF(OR(AF175/#REF!-1&gt;2,AF175/#REF!-1&lt;-0.95),"-",AF175/#REF!-1),"-")</f>
        <v>-</v>
      </c>
      <c r="AG176" s="369"/>
      <c r="AH176" s="369"/>
      <c r="AI176" s="369"/>
      <c r="AK176" s="369"/>
      <c r="AL176" s="369"/>
      <c r="AM176" s="369"/>
      <c r="AN176" s="369"/>
      <c r="AO176" s="369"/>
      <c r="AP176" s="369"/>
      <c r="AQ176" s="369"/>
      <c r="AR176" s="369"/>
    </row>
    <row r="177" spans="2:44" ht="15" customHeight="1" x14ac:dyDescent="0.25">
      <c r="B177" s="41" t="s">
        <v>140</v>
      </c>
      <c r="C177" s="41"/>
      <c r="D177" s="41"/>
      <c r="E177" s="41"/>
      <c r="F177" s="41"/>
      <c r="G177" s="41"/>
      <c r="H177" s="41"/>
      <c r="I177" s="41"/>
      <c r="J177" s="41"/>
      <c r="K177" s="41"/>
      <c r="L177" s="41"/>
      <c r="M177" s="41"/>
      <c r="N177" s="41"/>
      <c r="O177" s="41"/>
      <c r="P177" s="41"/>
      <c r="Q177" s="41"/>
      <c r="R177" s="41"/>
      <c r="S177" s="41"/>
      <c r="T177" s="356">
        <v>7110.0330977642898</v>
      </c>
      <c r="U177" s="356">
        <v>6032.15385233291</v>
      </c>
      <c r="V177" s="356">
        <v>5426.5935930000005</v>
      </c>
      <c r="W177" s="356">
        <v>9986.7962710009997</v>
      </c>
      <c r="X177" s="356">
        <f>'Operating Data'!X181</f>
        <v>9371.515664999999</v>
      </c>
      <c r="Y177" s="356">
        <f t="shared" si="71"/>
        <v>8760.341677638</v>
      </c>
      <c r="Z177" s="356"/>
      <c r="AA177" s="356"/>
      <c r="AB177" s="356">
        <f>'Operating Data'!AB181</f>
        <v>2201.1899080000003</v>
      </c>
      <c r="AC177" s="356">
        <f>'Operating Data'!AC181</f>
        <v>4404.1109034000001</v>
      </c>
      <c r="AD177" s="356">
        <f>'Operating Data'!AD181</f>
        <v>6580.3954366379994</v>
      </c>
      <c r="AE177" s="356">
        <f>'Operating Data'!AE181</f>
        <v>8760.341677638</v>
      </c>
      <c r="AF177" s="356">
        <f>'Operating Data'!AF181</f>
        <v>2263.276496</v>
      </c>
      <c r="AG177" s="356"/>
      <c r="AH177" s="356"/>
      <c r="AI177" s="356"/>
      <c r="AK177" s="356"/>
      <c r="AL177" s="356"/>
      <c r="AM177" s="356"/>
      <c r="AN177" s="356"/>
      <c r="AO177" s="356"/>
      <c r="AP177" s="356"/>
      <c r="AQ177" s="356"/>
      <c r="AR177" s="356"/>
    </row>
    <row r="178" spans="2:44" ht="15" customHeight="1" x14ac:dyDescent="0.25">
      <c r="B178" s="158" t="s">
        <v>131</v>
      </c>
      <c r="C178" s="158"/>
      <c r="D178" s="158"/>
      <c r="E178" s="158"/>
      <c r="F178" s="158"/>
      <c r="G178" s="158"/>
      <c r="H178" s="158"/>
      <c r="I178" s="158"/>
      <c r="J178" s="158"/>
      <c r="K178" s="158"/>
      <c r="L178" s="158"/>
      <c r="M178" s="158"/>
      <c r="N178" s="158"/>
      <c r="O178" s="158"/>
      <c r="P178" s="158"/>
      <c r="Q178" s="158"/>
      <c r="R178" s="158"/>
      <c r="S178" s="158"/>
      <c r="T178" s="367" t="s">
        <v>17</v>
      </c>
      <c r="U178" s="367">
        <f>IFERROR(IF(OR(U177/T177-1&gt;2,U177/T177-1&lt;-0.95),"-",U177/T177-1),"-")</f>
        <v>-0.15159975074803977</v>
      </c>
      <c r="V178" s="368">
        <f>IFERROR(IF(OR(V177/U177-1&gt;2,V177/U177-1&lt;-0.95),"-",V177/U177-1),"-")</f>
        <v>-0.10038872915993535</v>
      </c>
      <c r="W178" s="369">
        <f>IFERROR(IF(OR(W177/V177-1&gt;2,W177/V177-1&lt;-0.95),"-",W177/V177-1),"-")</f>
        <v>0.84034350460358831</v>
      </c>
      <c r="X178" s="369" t="str">
        <f>IFERROR(IF(OR(X177/Q177-1&gt;2,X177/Q177-1&lt;-0.95),"-",X177/Q177-1),"-")</f>
        <v>-</v>
      </c>
      <c r="Y178" s="369" t="str">
        <f t="shared" si="71"/>
        <v>-</v>
      </c>
      <c r="Z178" s="367"/>
      <c r="AB178" s="369" t="str">
        <f>IFERROR(IF(OR(AB177/#REF!-1&gt;2,AB177/#REF!-1&lt;-0.95),"-",AB177/#REF!-1),"-")</f>
        <v>-</v>
      </c>
      <c r="AC178" s="369" t="str">
        <f>IFERROR(IF(OR(AC177/#REF!-1&gt;2,AC177/#REF!-1&lt;-0.95),"-",AC177/#REF!-1),"-")</f>
        <v>-</v>
      </c>
      <c r="AD178" s="369" t="str">
        <f>IFERROR(IF(OR(AD177/#REF!-1&gt;2,AD177/#REF!-1&lt;-0.95),"-",AD177/#REF!-1),"-")</f>
        <v>-</v>
      </c>
      <c r="AE178" s="369" t="str">
        <f>IFERROR(IF(OR(AE177/#REF!-1&gt;2,AE177/#REF!-1&lt;-0.95),"-",AE177/#REF!-1),"-")</f>
        <v>-</v>
      </c>
      <c r="AF178" s="369" t="str">
        <f>IFERROR(IF(OR(AF177/#REF!-1&gt;2,AF177/#REF!-1&lt;-0.95),"-",AF177/#REF!-1),"-")</f>
        <v>-</v>
      </c>
      <c r="AG178" s="369"/>
      <c r="AH178" s="369"/>
      <c r="AI178" s="369"/>
      <c r="AK178" s="369"/>
      <c r="AL178" s="369"/>
      <c r="AM178" s="369"/>
      <c r="AN178" s="369"/>
      <c r="AO178" s="369"/>
      <c r="AP178" s="369"/>
      <c r="AQ178" s="369"/>
      <c r="AR178" s="369"/>
    </row>
    <row r="179" spans="2:44" ht="15" customHeight="1" x14ac:dyDescent="0.25">
      <c r="B179" s="41" t="s">
        <v>141</v>
      </c>
      <c r="C179" s="41"/>
      <c r="D179" s="41"/>
      <c r="E179" s="41"/>
      <c r="F179" s="41"/>
      <c r="G179" s="41"/>
      <c r="H179" s="41"/>
      <c r="I179" s="41"/>
      <c r="J179" s="41"/>
      <c r="K179" s="41"/>
      <c r="L179" s="41"/>
      <c r="M179" s="41"/>
      <c r="N179" s="41"/>
      <c r="O179" s="41"/>
      <c r="P179" s="41"/>
      <c r="Q179" s="41"/>
      <c r="R179" s="41"/>
      <c r="S179" s="41"/>
      <c r="T179" s="356">
        <v>2250.3462347853301</v>
      </c>
      <c r="U179" s="356">
        <v>2229.4255281956002</v>
      </c>
      <c r="V179" s="356">
        <v>2132.4037127150004</v>
      </c>
      <c r="W179" s="356">
        <v>4129.9070758850003</v>
      </c>
      <c r="X179" s="356">
        <f>'Operating Data'!X182</f>
        <v>3914.3881220080007</v>
      </c>
      <c r="Y179" s="356">
        <f t="shared" si="71"/>
        <v>3922.1205515139995</v>
      </c>
      <c r="Z179" s="356"/>
      <c r="AA179" s="356"/>
      <c r="AB179" s="356">
        <f>'Operating Data'!AB182</f>
        <v>1054.1003229649998</v>
      </c>
      <c r="AC179" s="356">
        <f>'Operating Data'!AC182</f>
        <v>1950.0116232409996</v>
      </c>
      <c r="AD179" s="356">
        <f>'Operating Data'!AD182</f>
        <v>2892.5308026559997</v>
      </c>
      <c r="AE179" s="356">
        <f>'Operating Data'!AE182</f>
        <v>3922.1205515139995</v>
      </c>
      <c r="AF179" s="356">
        <f>'Operating Data'!AF182</f>
        <v>1073.2964210160001</v>
      </c>
      <c r="AG179" s="356"/>
      <c r="AH179" s="356"/>
      <c r="AI179" s="356"/>
      <c r="AK179" s="356"/>
      <c r="AL179" s="356"/>
      <c r="AM179" s="356"/>
      <c r="AN179" s="356"/>
      <c r="AO179" s="356"/>
      <c r="AP179" s="356"/>
      <c r="AQ179" s="356"/>
      <c r="AR179" s="356"/>
    </row>
    <row r="180" spans="2:44" ht="15" customHeight="1" x14ac:dyDescent="0.25">
      <c r="B180" s="158" t="s">
        <v>131</v>
      </c>
      <c r="C180" s="158"/>
      <c r="D180" s="158"/>
      <c r="E180" s="158"/>
      <c r="F180" s="158"/>
      <c r="G180" s="158"/>
      <c r="H180" s="158"/>
      <c r="I180" s="158"/>
      <c r="J180" s="158"/>
      <c r="K180" s="158"/>
      <c r="L180" s="158"/>
      <c r="M180" s="158"/>
      <c r="N180" s="158"/>
      <c r="O180" s="158"/>
      <c r="P180" s="158"/>
      <c r="Q180" s="158"/>
      <c r="R180" s="158"/>
      <c r="S180" s="158"/>
      <c r="T180" s="367" t="s">
        <v>17</v>
      </c>
      <c r="U180" s="367">
        <f>IFERROR(IF(OR(U179/T179-1&gt;2,U179/T179-1&lt;-0.95),"-",U179/T179-1),"-")</f>
        <v>-9.2966612276557115E-3</v>
      </c>
      <c r="V180" s="368">
        <f>IFERROR(IF(OR(V179/U179-1&gt;2,V179/U179-1&lt;-0.95),"-",V179/U179-1),"-")</f>
        <v>-4.3518751469184491E-2</v>
      </c>
      <c r="W180" s="369">
        <f>IFERROR(IF(OR(W179/V179-1&gt;2,W179/V179-1&lt;-0.95),"-",W179/V179-1),"-")</f>
        <v>0.9367378940767066</v>
      </c>
      <c r="X180" s="369" t="str">
        <f>IFERROR(IF(OR(X179/Q179-1&gt;2,X179/Q179-1&lt;-0.95),"-",X179/Q179-1),"-")</f>
        <v>-</v>
      </c>
      <c r="Y180" s="369" t="str">
        <f t="shared" si="71"/>
        <v>-</v>
      </c>
      <c r="Z180" s="367"/>
      <c r="AB180" s="369" t="str">
        <f>IFERROR(IF(OR(AB179/#REF!-1&gt;2,AB179/#REF!-1&lt;-0.95),"-",AB179/#REF!-1),"-")</f>
        <v>-</v>
      </c>
      <c r="AC180" s="369" t="str">
        <f>IFERROR(IF(OR(AC179/#REF!-1&gt;2,AC179/#REF!-1&lt;-0.95),"-",AC179/#REF!-1),"-")</f>
        <v>-</v>
      </c>
      <c r="AD180" s="369" t="str">
        <f>IFERROR(IF(OR(AD179/#REF!-1&gt;2,AD179/#REF!-1&lt;-0.95),"-",AD179/#REF!-1),"-")</f>
        <v>-</v>
      </c>
      <c r="AE180" s="369" t="str">
        <f>IFERROR(IF(OR(AE179/#REF!-1&gt;2,AE179/#REF!-1&lt;-0.95),"-",AE179/#REF!-1),"-")</f>
        <v>-</v>
      </c>
      <c r="AF180" s="369" t="str">
        <f>IFERROR(IF(OR(AF179/#REF!-1&gt;2,AF179/#REF!-1&lt;-0.95),"-",AF179/#REF!-1),"-")</f>
        <v>-</v>
      </c>
      <c r="AG180" s="369"/>
      <c r="AH180" s="369"/>
      <c r="AI180" s="369"/>
      <c r="AK180" s="369"/>
      <c r="AL180" s="369"/>
      <c r="AM180" s="369"/>
      <c r="AN180" s="369"/>
      <c r="AO180" s="369"/>
      <c r="AP180" s="369"/>
      <c r="AQ180" s="369"/>
      <c r="AR180" s="369"/>
    </row>
    <row r="181" spans="2:44" ht="15" customHeight="1" x14ac:dyDescent="0.25">
      <c r="B181" s="88"/>
      <c r="C181" s="88"/>
      <c r="D181" s="88"/>
      <c r="E181" s="88"/>
      <c r="F181" s="88"/>
      <c r="G181" s="88"/>
      <c r="H181" s="88"/>
      <c r="I181" s="88"/>
      <c r="J181" s="88"/>
      <c r="K181" s="88"/>
      <c r="L181" s="88"/>
      <c r="M181" s="88"/>
      <c r="N181" s="88"/>
      <c r="O181" s="88"/>
      <c r="P181" s="88"/>
      <c r="Q181" s="88"/>
      <c r="R181" s="88"/>
      <c r="S181" s="88"/>
    </row>
    <row r="182" spans="2:44" ht="30" customHeight="1" x14ac:dyDescent="0.45">
      <c r="B182" s="185" t="s">
        <v>147</v>
      </c>
      <c r="C182" s="185"/>
      <c r="D182" s="185"/>
      <c r="E182" s="185"/>
      <c r="F182" s="185"/>
      <c r="G182" s="185"/>
      <c r="H182" s="185"/>
      <c r="I182" s="185"/>
      <c r="J182" s="185"/>
      <c r="K182" s="185"/>
      <c r="L182" s="185"/>
      <c r="M182" s="185"/>
      <c r="N182" s="185"/>
      <c r="O182" s="185"/>
      <c r="P182" s="185"/>
      <c r="Q182" s="185"/>
      <c r="R182" s="185"/>
      <c r="S182" s="185"/>
    </row>
    <row r="183" spans="2:44" ht="15" customHeight="1" x14ac:dyDescent="0.25">
      <c r="B183" s="164" t="s">
        <v>115</v>
      </c>
      <c r="C183" s="172"/>
      <c r="D183" s="172"/>
      <c r="E183" s="172"/>
      <c r="F183" s="172"/>
      <c r="G183" s="172"/>
      <c r="H183" s="172"/>
      <c r="I183" s="172"/>
      <c r="J183" s="172"/>
      <c r="K183" s="172"/>
      <c r="L183" s="172"/>
      <c r="M183" s="172"/>
      <c r="N183" s="172"/>
      <c r="O183" s="172"/>
      <c r="P183" s="172"/>
      <c r="Q183" s="172"/>
      <c r="R183" s="172"/>
      <c r="S183" s="172"/>
      <c r="T183" s="228">
        <v>2018</v>
      </c>
      <c r="U183" s="228">
        <v>2019</v>
      </c>
      <c r="V183" s="228">
        <v>2020</v>
      </c>
      <c r="W183" s="228">
        <v>2021</v>
      </c>
      <c r="X183" s="228">
        <v>2022</v>
      </c>
      <c r="Y183" s="231">
        <v>2023</v>
      </c>
      <c r="Z183" s="230">
        <v>2024</v>
      </c>
      <c r="AB183" s="231" t="s">
        <v>291</v>
      </c>
      <c r="AC183" s="231" t="s">
        <v>292</v>
      </c>
      <c r="AD183" s="231" t="s">
        <v>293</v>
      </c>
      <c r="AE183" s="231">
        <v>2023</v>
      </c>
      <c r="AF183" s="232" t="s">
        <v>318</v>
      </c>
      <c r="AG183" s="232" t="s">
        <v>319</v>
      </c>
      <c r="AH183" s="232" t="s">
        <v>320</v>
      </c>
      <c r="AI183" s="232">
        <v>2024</v>
      </c>
      <c r="AK183" s="231" t="s">
        <v>291</v>
      </c>
      <c r="AL183" s="231" t="s">
        <v>296</v>
      </c>
      <c r="AM183" s="231" t="s">
        <v>294</v>
      </c>
      <c r="AN183" s="231" t="s">
        <v>295</v>
      </c>
      <c r="AO183" s="232" t="s">
        <v>318</v>
      </c>
      <c r="AP183" s="232" t="s">
        <v>321</v>
      </c>
      <c r="AQ183" s="232" t="s">
        <v>322</v>
      </c>
      <c r="AR183" s="232" t="s">
        <v>323</v>
      </c>
    </row>
    <row r="184" spans="2:44" ht="15" customHeight="1" x14ac:dyDescent="0.25">
      <c r="B184" s="89" t="s">
        <v>102</v>
      </c>
      <c r="C184" s="89"/>
      <c r="D184" s="89"/>
      <c r="E184" s="89"/>
      <c r="F184" s="89"/>
      <c r="G184" s="89"/>
      <c r="H184" s="89"/>
      <c r="I184" s="89"/>
      <c r="J184" s="89"/>
      <c r="K184" s="89"/>
      <c r="L184" s="89"/>
      <c r="M184" s="89"/>
      <c r="N184" s="89"/>
      <c r="O184" s="89"/>
      <c r="P184" s="89"/>
      <c r="Q184" s="89"/>
      <c r="R184" s="89"/>
      <c r="S184" s="89"/>
      <c r="T184" s="355">
        <v>1869.5664734000004</v>
      </c>
      <c r="U184" s="355">
        <v>2498.4689220699993</v>
      </c>
      <c r="V184" s="355">
        <v>2624.6599612699988</v>
      </c>
      <c r="W184" s="355">
        <v>3462.7299483300021</v>
      </c>
      <c r="X184" s="355">
        <v>4601.2121606999972</v>
      </c>
      <c r="Y184" s="382">
        <f t="shared" ref="Y184:Y199" si="72">AE184</f>
        <v>4871.8732362199989</v>
      </c>
      <c r="Z184" s="355"/>
      <c r="AB184" s="355">
        <v>1254.7129401400007</v>
      </c>
      <c r="AC184" s="355">
        <v>2272.9878968200005</v>
      </c>
      <c r="AD184" s="355">
        <v>3664.6939622300001</v>
      </c>
      <c r="AE184" s="382">
        <v>4871.8732362199989</v>
      </c>
      <c r="AF184" s="355">
        <v>1263.9868378199988</v>
      </c>
      <c r="AG184" s="382"/>
      <c r="AH184" s="382"/>
      <c r="AI184" s="382"/>
      <c r="AK184" s="355">
        <f t="shared" ref="AK184:AK199" si="73">AB184</f>
        <v>1254.7129401400007</v>
      </c>
      <c r="AL184" s="355">
        <f t="shared" ref="AL184:AL199" si="74">AC184-AB184</f>
        <v>1018.2749566799998</v>
      </c>
      <c r="AM184" s="355">
        <f t="shared" ref="AM184:AM199" si="75">AD184-AC184</f>
        <v>1391.7060654099996</v>
      </c>
      <c r="AN184" s="355">
        <f t="shared" ref="AN184:AN199" si="76">AE184-AD184</f>
        <v>1207.1792739899988</v>
      </c>
      <c r="AO184" s="355">
        <f t="shared" ref="AO184:AO199" si="77">AF184</f>
        <v>1263.9868378199988</v>
      </c>
      <c r="AP184" s="355"/>
      <c r="AQ184" s="355"/>
      <c r="AR184" s="355"/>
    </row>
    <row r="185" spans="2:44" ht="15" customHeight="1" x14ac:dyDescent="0.25">
      <c r="B185" s="109" t="s">
        <v>123</v>
      </c>
      <c r="C185" s="109"/>
      <c r="D185" s="109"/>
      <c r="E185" s="109"/>
      <c r="F185" s="109"/>
      <c r="G185" s="109"/>
      <c r="H185" s="109"/>
      <c r="I185" s="109"/>
      <c r="J185" s="109"/>
      <c r="K185" s="109"/>
      <c r="L185" s="109"/>
      <c r="M185" s="109"/>
      <c r="N185" s="109"/>
      <c r="O185" s="109"/>
      <c r="P185" s="109"/>
      <c r="Q185" s="109"/>
      <c r="R185" s="109"/>
      <c r="S185" s="109"/>
      <c r="T185" s="384">
        <v>1832.4598304001124</v>
      </c>
      <c r="U185" s="384">
        <v>2253</v>
      </c>
      <c r="V185" s="384">
        <v>2233.3252525699977</v>
      </c>
      <c r="W185" s="384">
        <v>2769.5292341899994</v>
      </c>
      <c r="X185" s="384">
        <v>3525.336321339998</v>
      </c>
      <c r="Y185" s="386">
        <f t="shared" si="72"/>
        <v>3614.7743233500005</v>
      </c>
      <c r="Z185" s="384"/>
      <c r="AB185" s="384">
        <v>982.55535539000061</v>
      </c>
      <c r="AC185" s="384">
        <v>1755.7458816200003</v>
      </c>
      <c r="AD185" s="384">
        <v>2670.5769621999989</v>
      </c>
      <c r="AE185" s="386">
        <v>3614.7743233500005</v>
      </c>
      <c r="AF185" s="384">
        <v>1034.2385894900001</v>
      </c>
      <c r="AG185" s="384"/>
      <c r="AH185" s="384"/>
      <c r="AI185" s="384"/>
      <c r="AK185" s="384">
        <f t="shared" si="73"/>
        <v>982.55535539000061</v>
      </c>
      <c r="AL185" s="384">
        <f t="shared" si="74"/>
        <v>773.1905262299997</v>
      </c>
      <c r="AM185" s="384">
        <f t="shared" si="75"/>
        <v>914.83108057999857</v>
      </c>
      <c r="AN185" s="384">
        <f t="shared" si="76"/>
        <v>944.1973611500016</v>
      </c>
      <c r="AO185" s="384">
        <f t="shared" si="77"/>
        <v>1034.2385894900001</v>
      </c>
      <c r="AP185" s="384"/>
      <c r="AQ185" s="384"/>
      <c r="AR185" s="384"/>
    </row>
    <row r="186" spans="2:44" ht="15" customHeight="1" x14ac:dyDescent="0.25">
      <c r="B186" s="218" t="s">
        <v>454</v>
      </c>
      <c r="C186" s="92"/>
      <c r="D186" s="92"/>
      <c r="E186" s="92"/>
      <c r="F186" s="92"/>
      <c r="G186" s="92"/>
      <c r="H186" s="92"/>
      <c r="I186" s="92"/>
      <c r="J186" s="92"/>
      <c r="K186" s="92"/>
      <c r="L186" s="92"/>
      <c r="M186" s="92"/>
      <c r="N186" s="92"/>
      <c r="O186" s="92"/>
      <c r="P186" s="92"/>
      <c r="Q186" s="92"/>
      <c r="R186" s="92"/>
      <c r="S186" s="92"/>
      <c r="T186" s="356">
        <v>1650.1156146185117</v>
      </c>
      <c r="U186" s="356">
        <v>1869</v>
      </c>
      <c r="V186" s="356">
        <v>2051.0183528470347</v>
      </c>
      <c r="W186" s="356">
        <v>2446.8849107119086</v>
      </c>
      <c r="X186" s="356">
        <v>3092.4945162767563</v>
      </c>
      <c r="Y186" s="359">
        <f t="shared" si="72"/>
        <v>3173.5969662465445</v>
      </c>
      <c r="Z186" s="356"/>
      <c r="AB186" s="356">
        <v>816</v>
      </c>
      <c r="AC186" s="356">
        <v>1619.9929938352693</v>
      </c>
      <c r="AD186" s="356">
        <v>2408.1039334933262</v>
      </c>
      <c r="AE186" s="359">
        <v>3173.5969662465445</v>
      </c>
      <c r="AF186" s="356">
        <v>796.41014283357595</v>
      </c>
      <c r="AG186" s="356"/>
      <c r="AH186" s="356"/>
      <c r="AI186" s="356"/>
      <c r="AK186" s="384">
        <f t="shared" si="73"/>
        <v>816</v>
      </c>
      <c r="AL186" s="384">
        <f t="shared" si="74"/>
        <v>803.99299383526932</v>
      </c>
      <c r="AM186" s="384">
        <f t="shared" si="75"/>
        <v>788.11093965805685</v>
      </c>
      <c r="AN186" s="384">
        <f t="shared" si="76"/>
        <v>765.49303275321836</v>
      </c>
      <c r="AO186" s="384">
        <f t="shared" si="77"/>
        <v>796.41014283357595</v>
      </c>
      <c r="AP186" s="384"/>
      <c r="AQ186" s="384"/>
      <c r="AR186" s="384"/>
    </row>
    <row r="187" spans="2:44" ht="15" customHeight="1" x14ac:dyDescent="0.25">
      <c r="B187" s="218" t="s">
        <v>42</v>
      </c>
      <c r="C187" s="93"/>
      <c r="D187" s="93"/>
      <c r="E187" s="93"/>
      <c r="F187" s="93"/>
      <c r="G187" s="93"/>
      <c r="H187" s="93"/>
      <c r="I187" s="93"/>
      <c r="J187" s="93"/>
      <c r="K187" s="93"/>
      <c r="L187" s="93"/>
      <c r="M187" s="93"/>
      <c r="N187" s="93"/>
      <c r="O187" s="93"/>
      <c r="P187" s="93"/>
      <c r="Q187" s="93"/>
      <c r="R187" s="93"/>
      <c r="S187" s="93"/>
      <c r="T187" s="356">
        <v>182.34421578160064</v>
      </c>
      <c r="U187" s="356">
        <v>384</v>
      </c>
      <c r="V187" s="356">
        <v>182.30689972296295</v>
      </c>
      <c r="W187" s="356">
        <v>322.64432347809088</v>
      </c>
      <c r="X187" s="356">
        <v>432.84180506324174</v>
      </c>
      <c r="Y187" s="359">
        <f t="shared" si="72"/>
        <v>441.17735710345596</v>
      </c>
      <c r="Z187" s="356"/>
      <c r="AB187" s="356">
        <v>165.55535539000061</v>
      </c>
      <c r="AC187" s="356">
        <v>135.752887784731</v>
      </c>
      <c r="AD187" s="356">
        <v>262.47302870667272</v>
      </c>
      <c r="AE187" s="359">
        <v>441.17735710345596</v>
      </c>
      <c r="AF187" s="356">
        <v>237.82844665642415</v>
      </c>
      <c r="AG187" s="356"/>
      <c r="AH187" s="356"/>
      <c r="AI187" s="356"/>
      <c r="AK187" s="384">
        <f t="shared" si="73"/>
        <v>165.55535539000061</v>
      </c>
      <c r="AL187" s="384">
        <f t="shared" si="74"/>
        <v>-29.802467605269612</v>
      </c>
      <c r="AM187" s="384">
        <f t="shared" si="75"/>
        <v>126.72014092194172</v>
      </c>
      <c r="AN187" s="384">
        <f t="shared" si="76"/>
        <v>178.70432839678324</v>
      </c>
      <c r="AO187" s="384">
        <f t="shared" si="77"/>
        <v>237.82844665642415</v>
      </c>
      <c r="AP187" s="384"/>
      <c r="AQ187" s="384"/>
      <c r="AR187" s="384"/>
    </row>
    <row r="188" spans="2:44" ht="15" customHeight="1" x14ac:dyDescent="0.25">
      <c r="B188" s="109" t="s">
        <v>124</v>
      </c>
      <c r="C188" s="109"/>
      <c r="D188" s="109"/>
      <c r="E188" s="109"/>
      <c r="F188" s="109"/>
      <c r="G188" s="109"/>
      <c r="H188" s="109"/>
      <c r="I188" s="109"/>
      <c r="J188" s="109"/>
      <c r="K188" s="109"/>
      <c r="L188" s="109"/>
      <c r="M188" s="109"/>
      <c r="N188" s="109"/>
      <c r="O188" s="109"/>
      <c r="P188" s="109"/>
      <c r="Q188" s="109"/>
      <c r="R188" s="109"/>
      <c r="S188" s="109"/>
      <c r="T188" s="384">
        <f>T259</f>
        <v>37.106424089999969</v>
      </c>
      <c r="U188" s="384">
        <f>U259</f>
        <v>245.64252396000006</v>
      </c>
      <c r="V188" s="384">
        <f>V259</f>
        <v>391.33470870000014</v>
      </c>
      <c r="W188" s="384">
        <f>W259</f>
        <v>693.20071413999995</v>
      </c>
      <c r="X188" s="384">
        <f t="shared" ref="X188" si="78">X259</f>
        <v>1075.8758393599999</v>
      </c>
      <c r="Y188" s="386">
        <f t="shared" si="72"/>
        <v>1257.0989128699998</v>
      </c>
      <c r="Z188" s="384"/>
      <c r="AB188" s="384">
        <f t="shared" ref="AB188" si="79">AB259</f>
        <v>272.15758475000007</v>
      </c>
      <c r="AC188" s="384">
        <f t="shared" ref="AC188" si="80">AC259</f>
        <v>517.24201520000008</v>
      </c>
      <c r="AD188" s="384">
        <f t="shared" ref="AD188:AF188" si="81">AD259</f>
        <v>994.11700003000021</v>
      </c>
      <c r="AE188" s="386">
        <f t="shared" si="81"/>
        <v>1257.0989128699998</v>
      </c>
      <c r="AF188" s="384">
        <f t="shared" si="81"/>
        <v>229.74824833000005</v>
      </c>
      <c r="AG188" s="384"/>
      <c r="AH188" s="384"/>
      <c r="AI188" s="384"/>
      <c r="AK188" s="384">
        <f t="shared" si="73"/>
        <v>272.15758475000007</v>
      </c>
      <c r="AL188" s="384">
        <f t="shared" si="74"/>
        <v>245.08443045000001</v>
      </c>
      <c r="AM188" s="384">
        <f t="shared" si="75"/>
        <v>476.87498483000013</v>
      </c>
      <c r="AN188" s="384">
        <f t="shared" si="76"/>
        <v>262.98191283999961</v>
      </c>
      <c r="AO188" s="384">
        <f t="shared" si="77"/>
        <v>229.74824833000005</v>
      </c>
      <c r="AP188" s="384"/>
      <c r="AQ188" s="384"/>
      <c r="AR188" s="384"/>
    </row>
    <row r="189" spans="2:44" ht="15" customHeight="1" x14ac:dyDescent="0.25">
      <c r="B189" s="90" t="s">
        <v>148</v>
      </c>
      <c r="C189" s="90"/>
      <c r="D189" s="90"/>
      <c r="E189" s="90"/>
      <c r="F189" s="90"/>
      <c r="G189" s="90"/>
      <c r="H189" s="90"/>
      <c r="I189" s="90"/>
      <c r="J189" s="90"/>
      <c r="K189" s="90"/>
      <c r="L189" s="90"/>
      <c r="M189" s="90"/>
      <c r="N189" s="90"/>
      <c r="O189" s="90"/>
      <c r="P189" s="90"/>
      <c r="Q189" s="90"/>
      <c r="R189" s="90"/>
      <c r="S189" s="90"/>
      <c r="T189" s="356">
        <v>766.94518435999998</v>
      </c>
      <c r="U189" s="356">
        <v>663.64061744999992</v>
      </c>
      <c r="V189" s="356">
        <v>788.33915197999966</v>
      </c>
      <c r="W189" s="356">
        <v>807.25093162000007</v>
      </c>
      <c r="X189" s="356">
        <v>960.3190964800001</v>
      </c>
      <c r="Y189" s="359">
        <f t="shared" si="72"/>
        <v>1046.2547362899998</v>
      </c>
      <c r="Z189" s="356"/>
      <c r="AB189" s="356">
        <v>246.51924020999999</v>
      </c>
      <c r="AC189" s="356">
        <v>494.85743685999978</v>
      </c>
      <c r="AD189" s="356">
        <v>751.70094179999967</v>
      </c>
      <c r="AE189" s="359">
        <v>1046.2547362899998</v>
      </c>
      <c r="AF189" s="356">
        <v>264.26256387000012</v>
      </c>
      <c r="AG189" s="359"/>
      <c r="AH189" s="359"/>
      <c r="AI189" s="359"/>
      <c r="AK189" s="384">
        <f t="shared" si="73"/>
        <v>246.51924020999999</v>
      </c>
      <c r="AL189" s="384">
        <f t="shared" si="74"/>
        <v>248.33819664999979</v>
      </c>
      <c r="AM189" s="384">
        <f t="shared" si="75"/>
        <v>256.84350493999989</v>
      </c>
      <c r="AN189" s="384">
        <f t="shared" si="76"/>
        <v>294.55379449000009</v>
      </c>
      <c r="AO189" s="384">
        <f t="shared" si="77"/>
        <v>264.26256387000012</v>
      </c>
      <c r="AP189" s="384"/>
      <c r="AQ189" s="384"/>
      <c r="AR189" s="384"/>
    </row>
    <row r="190" spans="2:44" ht="15" customHeight="1" x14ac:dyDescent="0.25">
      <c r="B190" s="90" t="s">
        <v>149</v>
      </c>
      <c r="C190" s="90"/>
      <c r="D190" s="90"/>
      <c r="E190" s="90"/>
      <c r="F190" s="90"/>
      <c r="G190" s="90"/>
      <c r="H190" s="90"/>
      <c r="I190" s="90"/>
      <c r="J190" s="90"/>
      <c r="K190" s="90"/>
      <c r="L190" s="90"/>
      <c r="M190" s="90"/>
      <c r="N190" s="90"/>
      <c r="O190" s="90"/>
      <c r="P190" s="90"/>
      <c r="Q190" s="90"/>
      <c r="R190" s="90"/>
      <c r="S190" s="90"/>
      <c r="T190" s="356">
        <v>185.31464266999998</v>
      </c>
      <c r="U190" s="356">
        <v>211.21137426999999</v>
      </c>
      <c r="V190" s="356">
        <v>247.09630837999998</v>
      </c>
      <c r="W190" s="356">
        <v>-97.449363030000001</v>
      </c>
      <c r="X190" s="356">
        <v>296.79930977000004</v>
      </c>
      <c r="Y190" s="359">
        <f t="shared" si="72"/>
        <v>472.49785031000005</v>
      </c>
      <c r="Z190" s="356"/>
      <c r="AB190" s="356">
        <v>80.085134180000011</v>
      </c>
      <c r="AC190" s="356">
        <v>152.68011050999999</v>
      </c>
      <c r="AD190" s="356">
        <v>386.18467562000001</v>
      </c>
      <c r="AE190" s="359">
        <v>472.49785031000005</v>
      </c>
      <c r="AF190" s="356">
        <v>-315.25117340999998</v>
      </c>
      <c r="AG190" s="359"/>
      <c r="AH190" s="359"/>
      <c r="AI190" s="359"/>
      <c r="AK190" s="384">
        <f t="shared" si="73"/>
        <v>80.085134180000011</v>
      </c>
      <c r="AL190" s="384">
        <f t="shared" si="74"/>
        <v>72.59497632999998</v>
      </c>
      <c r="AM190" s="384">
        <f t="shared" si="75"/>
        <v>233.50456511000002</v>
      </c>
      <c r="AN190" s="384">
        <f t="shared" si="76"/>
        <v>86.313174690000039</v>
      </c>
      <c r="AO190" s="384">
        <f t="shared" si="77"/>
        <v>-315.25117340999998</v>
      </c>
      <c r="AP190" s="384"/>
      <c r="AQ190" s="384"/>
      <c r="AR190" s="384"/>
    </row>
    <row r="191" spans="2:44" ht="15" customHeight="1" x14ac:dyDescent="0.25">
      <c r="B191" s="89" t="s">
        <v>150</v>
      </c>
      <c r="C191" s="89"/>
      <c r="D191" s="89"/>
      <c r="E191" s="89"/>
      <c r="F191" s="89"/>
      <c r="G191" s="89"/>
      <c r="H191" s="89"/>
      <c r="I191" s="89"/>
      <c r="J191" s="89"/>
      <c r="K191" s="89"/>
      <c r="L191" s="89"/>
      <c r="M191" s="89"/>
      <c r="N191" s="89"/>
      <c r="O191" s="89"/>
      <c r="P191" s="89"/>
      <c r="Q191" s="89"/>
      <c r="R191" s="89"/>
      <c r="S191" s="89"/>
      <c r="T191" s="355">
        <v>952.32243559999995</v>
      </c>
      <c r="U191" s="355">
        <v>874.85199171999989</v>
      </c>
      <c r="V191" s="355">
        <v>1035.4354603599995</v>
      </c>
      <c r="W191" s="355">
        <v>709.80156858999999</v>
      </c>
      <c r="X191" s="355">
        <v>1257.1184062500001</v>
      </c>
      <c r="Y191" s="382">
        <f t="shared" si="72"/>
        <v>1518.7525865999999</v>
      </c>
      <c r="Z191" s="355"/>
      <c r="AB191" s="355">
        <v>326.60437438999998</v>
      </c>
      <c r="AC191" s="355">
        <v>647.53754736999974</v>
      </c>
      <c r="AD191" s="355">
        <v>1137.8856174199996</v>
      </c>
      <c r="AE191" s="382">
        <v>1518.7525865999999</v>
      </c>
      <c r="AF191" s="355">
        <v>-50.988609539999857</v>
      </c>
      <c r="AG191" s="382"/>
      <c r="AH191" s="382"/>
      <c r="AI191" s="382"/>
      <c r="AK191" s="355">
        <f t="shared" si="73"/>
        <v>326.60437438999998</v>
      </c>
      <c r="AL191" s="355">
        <f t="shared" si="74"/>
        <v>320.93317297999977</v>
      </c>
      <c r="AM191" s="355">
        <f t="shared" si="75"/>
        <v>490.34807004999982</v>
      </c>
      <c r="AN191" s="355">
        <f t="shared" si="76"/>
        <v>380.8669691800003</v>
      </c>
      <c r="AO191" s="355">
        <f t="shared" si="77"/>
        <v>-50.988609539999857</v>
      </c>
      <c r="AP191" s="355"/>
      <c r="AQ191" s="355"/>
      <c r="AR191" s="355"/>
    </row>
    <row r="192" spans="2:44" ht="15" customHeight="1" x14ac:dyDescent="0.25">
      <c r="B192" s="85" t="s">
        <v>151</v>
      </c>
      <c r="C192" s="85"/>
      <c r="D192" s="85"/>
      <c r="E192" s="85"/>
      <c r="F192" s="85"/>
      <c r="G192" s="85"/>
      <c r="H192" s="85"/>
      <c r="I192" s="85"/>
      <c r="J192" s="85"/>
      <c r="K192" s="85"/>
      <c r="L192" s="85"/>
      <c r="M192" s="85"/>
      <c r="N192" s="85"/>
      <c r="O192" s="85"/>
      <c r="P192" s="85"/>
      <c r="Q192" s="85"/>
      <c r="R192" s="85"/>
      <c r="S192" s="85"/>
      <c r="T192" s="357">
        <v>0</v>
      </c>
      <c r="U192" s="357">
        <v>0</v>
      </c>
      <c r="V192" s="357">
        <v>0</v>
      </c>
      <c r="W192" s="357">
        <v>0</v>
      </c>
      <c r="X192" s="357"/>
      <c r="Y192" s="448">
        <f t="shared" si="72"/>
        <v>0</v>
      </c>
      <c r="Z192" s="357"/>
      <c r="AB192" s="357"/>
      <c r="AC192" s="357"/>
      <c r="AD192" s="357"/>
      <c r="AE192" s="448"/>
      <c r="AF192" s="357">
        <v>27.944538601613999</v>
      </c>
      <c r="AG192" s="357"/>
      <c r="AH192" s="357"/>
      <c r="AI192" s="357"/>
      <c r="AK192" s="355">
        <f t="shared" si="73"/>
        <v>0</v>
      </c>
      <c r="AL192" s="355">
        <f t="shared" si="74"/>
        <v>0</v>
      </c>
      <c r="AM192" s="355">
        <f t="shared" si="75"/>
        <v>0</v>
      </c>
      <c r="AN192" s="355">
        <f t="shared" si="76"/>
        <v>0</v>
      </c>
      <c r="AO192" s="355">
        <f t="shared" si="77"/>
        <v>27.944538601613999</v>
      </c>
      <c r="AP192" s="355"/>
      <c r="AQ192" s="355"/>
      <c r="AR192" s="355"/>
    </row>
    <row r="193" spans="2:47" ht="15" customHeight="1" x14ac:dyDescent="0.25">
      <c r="B193" s="77" t="s">
        <v>72</v>
      </c>
      <c r="C193" s="77"/>
      <c r="D193" s="77"/>
      <c r="E193" s="77"/>
      <c r="F193" s="77"/>
      <c r="G193" s="77"/>
      <c r="H193" s="77"/>
      <c r="I193" s="77"/>
      <c r="J193" s="77"/>
      <c r="K193" s="77"/>
      <c r="L193" s="77"/>
      <c r="M193" s="77"/>
      <c r="N193" s="77"/>
      <c r="O193" s="77"/>
      <c r="P193" s="77"/>
      <c r="Q193" s="77"/>
      <c r="R193" s="77"/>
      <c r="S193" s="77"/>
      <c r="T193" s="355">
        <v>917.18142923000005</v>
      </c>
      <c r="U193" s="355">
        <v>1623.6169303500005</v>
      </c>
      <c r="V193" s="355">
        <v>1589.2245009099993</v>
      </c>
      <c r="W193" s="355">
        <v>2752.9283797400035</v>
      </c>
      <c r="X193" s="355">
        <v>3344.093754459996</v>
      </c>
      <c r="Y193" s="382">
        <f t="shared" si="72"/>
        <v>3353.1206496200002</v>
      </c>
      <c r="Z193" s="355"/>
      <c r="AB193" s="355">
        <v>928.10856574999957</v>
      </c>
      <c r="AC193" s="355">
        <v>1625.4503494499945</v>
      </c>
      <c r="AD193" s="355">
        <v>2526.8083447799991</v>
      </c>
      <c r="AE193" s="382">
        <v>3353.1206496200002</v>
      </c>
      <c r="AF193" s="355">
        <v>1342.919985961611</v>
      </c>
      <c r="AG193" s="355"/>
      <c r="AH193" s="355"/>
      <c r="AI193" s="355"/>
      <c r="AK193" s="355">
        <f t="shared" si="73"/>
        <v>928.10856574999957</v>
      </c>
      <c r="AL193" s="355">
        <f t="shared" si="74"/>
        <v>697.34178369999495</v>
      </c>
      <c r="AM193" s="355">
        <f t="shared" si="75"/>
        <v>901.35799533000454</v>
      </c>
      <c r="AN193" s="355">
        <f t="shared" si="76"/>
        <v>826.31230484000116</v>
      </c>
      <c r="AO193" s="355">
        <f t="shared" si="77"/>
        <v>1342.919985961611</v>
      </c>
      <c r="AP193" s="355"/>
      <c r="AQ193" s="355"/>
      <c r="AR193" s="355"/>
    </row>
    <row r="194" spans="2:47" ht="15" customHeight="1" x14ac:dyDescent="0.25">
      <c r="B194" s="109" t="s">
        <v>123</v>
      </c>
      <c r="C194" s="109"/>
      <c r="D194" s="109"/>
      <c r="E194" s="109"/>
      <c r="F194" s="109"/>
      <c r="G194" s="109"/>
      <c r="H194" s="109"/>
      <c r="I194" s="109"/>
      <c r="J194" s="109"/>
      <c r="K194" s="109"/>
      <c r="L194" s="109"/>
      <c r="M194" s="109"/>
      <c r="N194" s="109"/>
      <c r="O194" s="109"/>
      <c r="P194" s="109"/>
      <c r="Q194" s="109"/>
      <c r="R194" s="109"/>
      <c r="S194" s="109"/>
      <c r="T194" s="384">
        <v>886.96392712999955</v>
      </c>
      <c r="U194" s="384">
        <v>1392.6288562600002</v>
      </c>
      <c r="V194" s="384">
        <v>1218.6247817799986</v>
      </c>
      <c r="W194" s="384">
        <v>1768.329731380001</v>
      </c>
      <c r="X194" s="384">
        <v>2373.7723656200019</v>
      </c>
      <c r="Y194" s="386">
        <f t="shared" si="72"/>
        <v>2360.4156858699967</v>
      </c>
      <c r="Z194" s="384"/>
      <c r="AB194" s="384">
        <v>680.6399568100004</v>
      </c>
      <c r="AC194" s="384">
        <v>1157.6509464400008</v>
      </c>
      <c r="AD194" s="384">
        <v>1762.6603399200001</v>
      </c>
      <c r="AE194" s="386">
        <v>2360.4156858699967</v>
      </c>
      <c r="AF194" s="384">
        <v>735.19329049999942</v>
      </c>
      <c r="AG194" s="384"/>
      <c r="AH194" s="384"/>
      <c r="AI194" s="384"/>
      <c r="AK194" s="384">
        <f t="shared" si="73"/>
        <v>680.6399568100004</v>
      </c>
      <c r="AL194" s="384">
        <f t="shared" si="74"/>
        <v>477.01098963000038</v>
      </c>
      <c r="AM194" s="384">
        <f t="shared" si="75"/>
        <v>605.00939347999929</v>
      </c>
      <c r="AN194" s="384">
        <f t="shared" si="76"/>
        <v>597.75534594999658</v>
      </c>
      <c r="AO194" s="384">
        <f t="shared" si="77"/>
        <v>735.19329049999942</v>
      </c>
      <c r="AP194" s="384"/>
      <c r="AQ194" s="384"/>
      <c r="AR194" s="384"/>
    </row>
    <row r="195" spans="2:47" ht="15" customHeight="1" x14ac:dyDescent="0.25">
      <c r="B195" s="219" t="s">
        <v>133</v>
      </c>
      <c r="C195" s="91"/>
      <c r="D195" s="91"/>
      <c r="E195" s="91"/>
      <c r="F195" s="91"/>
      <c r="G195" s="91"/>
      <c r="H195" s="91"/>
      <c r="I195" s="91"/>
      <c r="J195" s="91"/>
      <c r="K195" s="91"/>
      <c r="L195" s="91"/>
      <c r="M195" s="91"/>
      <c r="N195" s="91"/>
      <c r="O195" s="91"/>
      <c r="P195" s="91"/>
      <c r="Q195" s="91"/>
      <c r="R195" s="91"/>
      <c r="S195" s="91"/>
      <c r="T195" s="356">
        <v>460.18352926999967</v>
      </c>
      <c r="U195" s="356">
        <v>633.76424679000081</v>
      </c>
      <c r="V195" s="356">
        <v>639.61768847999997</v>
      </c>
      <c r="W195" s="356">
        <v>882.27439184999969</v>
      </c>
      <c r="X195" s="356">
        <v>1189.5722069800006</v>
      </c>
      <c r="Y195" s="359">
        <f t="shared" si="72"/>
        <v>1256.3614025999975</v>
      </c>
      <c r="Z195" s="356"/>
      <c r="AB195" s="356">
        <v>324.82095150000009</v>
      </c>
      <c r="AC195" s="356">
        <v>565.53830723000044</v>
      </c>
      <c r="AD195" s="356">
        <v>926.06556510000075</v>
      </c>
      <c r="AE195" s="359">
        <v>1256.3614025999975</v>
      </c>
      <c r="AF195" s="356">
        <v>387.39174488000003</v>
      </c>
      <c r="AG195" s="356"/>
      <c r="AH195" s="356"/>
      <c r="AI195" s="356"/>
      <c r="AK195" s="384">
        <f t="shared" si="73"/>
        <v>324.82095150000009</v>
      </c>
      <c r="AL195" s="384">
        <f t="shared" si="74"/>
        <v>240.71735573000035</v>
      </c>
      <c r="AM195" s="384">
        <f t="shared" si="75"/>
        <v>360.52725787000031</v>
      </c>
      <c r="AN195" s="384">
        <f t="shared" si="76"/>
        <v>330.29583749999676</v>
      </c>
      <c r="AO195" s="384">
        <f t="shared" si="77"/>
        <v>387.39174488000003</v>
      </c>
      <c r="AP195" s="384"/>
      <c r="AQ195" s="384"/>
      <c r="AR195" s="384"/>
    </row>
    <row r="196" spans="2:47" ht="15" customHeight="1" x14ac:dyDescent="0.25">
      <c r="B196" s="219" t="s">
        <v>136</v>
      </c>
      <c r="C196" s="91"/>
      <c r="D196" s="91"/>
      <c r="E196" s="91"/>
      <c r="F196" s="91"/>
      <c r="G196" s="91"/>
      <c r="H196" s="91"/>
      <c r="I196" s="91"/>
      <c r="J196" s="91"/>
      <c r="K196" s="91"/>
      <c r="L196" s="91"/>
      <c r="M196" s="91"/>
      <c r="N196" s="91"/>
      <c r="O196" s="91"/>
      <c r="P196" s="91"/>
      <c r="Q196" s="91"/>
      <c r="R196" s="91"/>
      <c r="S196" s="91"/>
      <c r="T196" s="356">
        <v>426.78039785999994</v>
      </c>
      <c r="U196" s="356">
        <v>758.86460946999932</v>
      </c>
      <c r="V196" s="356">
        <v>579.00709329999972</v>
      </c>
      <c r="W196" s="356">
        <v>886.05533953000042</v>
      </c>
      <c r="X196" s="356">
        <v>1184.2001586399992</v>
      </c>
      <c r="Y196" s="359">
        <f t="shared" si="72"/>
        <v>1104.054283270001</v>
      </c>
      <c r="Z196" s="356"/>
      <c r="AB196" s="356">
        <v>355.81900531000031</v>
      </c>
      <c r="AC196" s="356">
        <v>592.1126392099992</v>
      </c>
      <c r="AD196" s="356">
        <v>836.5947748199992</v>
      </c>
      <c r="AE196" s="359">
        <v>1104.054283270001</v>
      </c>
      <c r="AF196" s="356">
        <v>347.80154561999944</v>
      </c>
      <c r="AG196" s="356"/>
      <c r="AH196" s="356"/>
      <c r="AI196" s="356"/>
      <c r="AK196" s="384">
        <f t="shared" si="73"/>
        <v>355.81900531000031</v>
      </c>
      <c r="AL196" s="384">
        <f t="shared" si="74"/>
        <v>236.29363389999889</v>
      </c>
      <c r="AM196" s="384">
        <f t="shared" si="75"/>
        <v>244.48213561</v>
      </c>
      <c r="AN196" s="384">
        <f t="shared" si="76"/>
        <v>267.45950845000175</v>
      </c>
      <c r="AO196" s="384">
        <f t="shared" si="77"/>
        <v>347.80154561999944</v>
      </c>
      <c r="AP196" s="384"/>
      <c r="AQ196" s="384"/>
      <c r="AR196" s="384"/>
    </row>
    <row r="197" spans="2:47" ht="15" customHeight="1" x14ac:dyDescent="0.25">
      <c r="B197" s="109" t="s">
        <v>124</v>
      </c>
      <c r="C197" s="109"/>
      <c r="D197" s="109"/>
      <c r="E197" s="109"/>
      <c r="F197" s="109"/>
      <c r="G197" s="109"/>
      <c r="H197" s="109"/>
      <c r="I197" s="109"/>
      <c r="J197" s="109"/>
      <c r="K197" s="109"/>
      <c r="L197" s="109"/>
      <c r="M197" s="109"/>
      <c r="N197" s="109"/>
      <c r="O197" s="109"/>
      <c r="P197" s="109"/>
      <c r="Q197" s="109"/>
      <c r="R197" s="109"/>
      <c r="S197" s="109"/>
      <c r="T197" s="384">
        <f>T260</f>
        <v>30.217502099999983</v>
      </c>
      <c r="U197" s="384">
        <f>U260</f>
        <v>230.98807409000005</v>
      </c>
      <c r="V197" s="384">
        <f>V260</f>
        <v>370.59971913000038</v>
      </c>
      <c r="W197" s="384">
        <f>W260</f>
        <v>984.59864835999952</v>
      </c>
      <c r="X197" s="384">
        <f t="shared" ref="X197" si="82">X260</f>
        <v>970.32138884000051</v>
      </c>
      <c r="Y197" s="386">
        <f t="shared" si="72"/>
        <v>992.70496375000016</v>
      </c>
      <c r="Z197" s="384"/>
      <c r="AB197" s="384">
        <f t="shared" ref="AB197" si="83">AB260</f>
        <v>247.46860893999991</v>
      </c>
      <c r="AC197" s="384">
        <f t="shared" ref="AC197" si="84">AC260</f>
        <v>467.79940300999982</v>
      </c>
      <c r="AD197" s="384">
        <f t="shared" ref="AD197:AF197" si="85">AD260</f>
        <v>764.14800486000024</v>
      </c>
      <c r="AE197" s="386">
        <f t="shared" si="85"/>
        <v>992.70496375000016</v>
      </c>
      <c r="AF197" s="384">
        <f t="shared" si="85"/>
        <v>579.78215685999999</v>
      </c>
      <c r="AG197" s="384"/>
      <c r="AH197" s="384"/>
      <c r="AI197" s="384"/>
      <c r="AK197" s="384">
        <f t="shared" si="73"/>
        <v>247.46860893999991</v>
      </c>
      <c r="AL197" s="384">
        <f t="shared" si="74"/>
        <v>220.33079406999991</v>
      </c>
      <c r="AM197" s="384">
        <f t="shared" si="75"/>
        <v>296.34860185000042</v>
      </c>
      <c r="AN197" s="384">
        <f t="shared" si="76"/>
        <v>228.55695888999992</v>
      </c>
      <c r="AO197" s="384">
        <f t="shared" si="77"/>
        <v>579.78215685999999</v>
      </c>
      <c r="AP197" s="384"/>
      <c r="AQ197" s="384"/>
      <c r="AR197" s="384"/>
    </row>
    <row r="198" spans="2:47" ht="15" customHeight="1" x14ac:dyDescent="0.25">
      <c r="B198" s="83" t="s">
        <v>152</v>
      </c>
      <c r="C198" s="83"/>
      <c r="D198" s="83"/>
      <c r="E198" s="83"/>
      <c r="F198" s="83"/>
      <c r="G198" s="83"/>
      <c r="H198" s="83"/>
      <c r="I198" s="83"/>
      <c r="J198" s="83"/>
      <c r="K198" s="83"/>
      <c r="L198" s="83"/>
      <c r="M198" s="83"/>
      <c r="N198" s="83"/>
      <c r="O198" s="83"/>
      <c r="P198" s="83"/>
      <c r="Q198" s="83"/>
      <c r="R198" s="83"/>
      <c r="S198" s="83"/>
      <c r="T198" s="356">
        <v>255.68366648999995</v>
      </c>
      <c r="U198" s="356">
        <v>282.28774637000004</v>
      </c>
      <c r="V198" s="356">
        <v>303.78251881000006</v>
      </c>
      <c r="W198" s="356">
        <v>310.64421715000003</v>
      </c>
      <c r="X198" s="356">
        <v>403.6059651700001</v>
      </c>
      <c r="Y198" s="359">
        <f t="shared" si="72"/>
        <v>485.15657303000006</v>
      </c>
      <c r="Z198" s="356"/>
      <c r="AB198" s="356">
        <v>117.68291075</v>
      </c>
      <c r="AC198" s="356">
        <v>245.15182771999997</v>
      </c>
      <c r="AD198" s="356">
        <v>349.4727516800001</v>
      </c>
      <c r="AE198" s="359">
        <v>485.15657303000006</v>
      </c>
      <c r="AF198" s="356">
        <v>124.67354571999998</v>
      </c>
      <c r="AG198" s="359"/>
      <c r="AH198" s="359"/>
      <c r="AI198" s="359"/>
      <c r="AK198" s="384">
        <f t="shared" si="73"/>
        <v>117.68291075</v>
      </c>
      <c r="AL198" s="384">
        <f t="shared" si="74"/>
        <v>127.46891696999997</v>
      </c>
      <c r="AM198" s="384">
        <f t="shared" si="75"/>
        <v>104.32092396000013</v>
      </c>
      <c r="AN198" s="384">
        <f t="shared" si="76"/>
        <v>135.68382134999996</v>
      </c>
      <c r="AO198" s="384">
        <f t="shared" si="77"/>
        <v>124.67354571999998</v>
      </c>
      <c r="AP198" s="384"/>
      <c r="AQ198" s="384"/>
      <c r="AR198" s="384"/>
    </row>
    <row r="199" spans="2:47" ht="15" customHeight="1" x14ac:dyDescent="0.25">
      <c r="B199" s="77" t="s">
        <v>77</v>
      </c>
      <c r="C199" s="77"/>
      <c r="D199" s="77"/>
      <c r="E199" s="77"/>
      <c r="F199" s="77"/>
      <c r="G199" s="77"/>
      <c r="H199" s="77"/>
      <c r="I199" s="77"/>
      <c r="J199" s="77"/>
      <c r="K199" s="77"/>
      <c r="L199" s="77"/>
      <c r="M199" s="77"/>
      <c r="N199" s="77"/>
      <c r="O199" s="77"/>
      <c r="P199" s="77"/>
      <c r="Q199" s="77"/>
      <c r="R199" s="77"/>
      <c r="S199" s="77"/>
      <c r="T199" s="355">
        <v>661.49776273999953</v>
      </c>
      <c r="U199" s="355">
        <v>1341.3291839800004</v>
      </c>
      <c r="V199" s="355">
        <v>1285.441982099999</v>
      </c>
      <c r="W199" s="355">
        <v>2442.2841625900037</v>
      </c>
      <c r="X199" s="355">
        <v>2940.487789289999</v>
      </c>
      <c r="Y199" s="382">
        <f t="shared" si="72"/>
        <v>2867.9640765899976</v>
      </c>
      <c r="Z199" s="355"/>
      <c r="AB199" s="355">
        <v>810.42565499999978</v>
      </c>
      <c r="AC199" s="355">
        <v>1380.2985217299968</v>
      </c>
      <c r="AD199" s="355">
        <v>2177.3355931000015</v>
      </c>
      <c r="AE199" s="382">
        <v>2867.9640765899976</v>
      </c>
      <c r="AF199" s="355">
        <v>1218.246440241611</v>
      </c>
      <c r="AG199" s="382"/>
      <c r="AH199" s="382"/>
      <c r="AI199" s="382"/>
      <c r="AK199" s="355">
        <f t="shared" si="73"/>
        <v>810.42565499999978</v>
      </c>
      <c r="AL199" s="355">
        <f t="shared" si="74"/>
        <v>569.87286672999699</v>
      </c>
      <c r="AM199" s="355">
        <f t="shared" si="75"/>
        <v>797.0370713700047</v>
      </c>
      <c r="AN199" s="355">
        <f t="shared" si="76"/>
        <v>690.62848348999614</v>
      </c>
      <c r="AO199" s="355">
        <f t="shared" si="77"/>
        <v>1218.246440241611</v>
      </c>
      <c r="AP199" s="355"/>
      <c r="AQ199" s="355"/>
      <c r="AR199" s="355"/>
    </row>
    <row r="200" spans="2:47" ht="15" customHeight="1" x14ac:dyDescent="0.25">
      <c r="B200" s="77"/>
      <c r="C200" s="77"/>
      <c r="D200" s="77"/>
      <c r="E200" s="77"/>
      <c r="F200" s="77"/>
      <c r="G200" s="77"/>
      <c r="H200" s="77"/>
      <c r="I200" s="77"/>
      <c r="J200" s="77"/>
      <c r="K200" s="77"/>
      <c r="L200" s="77"/>
      <c r="M200" s="77"/>
      <c r="N200" s="77"/>
      <c r="O200" s="77"/>
      <c r="P200" s="77"/>
      <c r="Q200" s="77"/>
      <c r="R200" s="77"/>
      <c r="S200" s="77"/>
      <c r="T200" s="355"/>
      <c r="U200" s="355"/>
      <c r="V200" s="355"/>
      <c r="Y200" s="355"/>
      <c r="AB200" s="355"/>
      <c r="AC200" s="355"/>
      <c r="AD200" s="355"/>
      <c r="AE200" s="355"/>
      <c r="AF200" s="355"/>
      <c r="AG200" s="355"/>
      <c r="AH200" s="355"/>
      <c r="AI200" s="355"/>
      <c r="AK200" s="355"/>
    </row>
    <row r="201" spans="2:47" ht="15" customHeight="1" x14ac:dyDescent="0.25">
      <c r="B201" s="164" t="s">
        <v>101</v>
      </c>
      <c r="C201" s="172"/>
      <c r="D201" s="172"/>
      <c r="E201" s="172"/>
      <c r="F201" s="172"/>
      <c r="G201" s="172"/>
      <c r="H201" s="172"/>
      <c r="I201" s="172"/>
      <c r="J201" s="172"/>
      <c r="K201" s="172"/>
      <c r="L201" s="172"/>
      <c r="M201" s="172"/>
      <c r="N201" s="172"/>
      <c r="O201" s="172"/>
      <c r="P201" s="172"/>
      <c r="Q201" s="172"/>
      <c r="R201" s="172"/>
      <c r="S201" s="172"/>
      <c r="T201" s="228">
        <v>2018</v>
      </c>
      <c r="U201" s="228">
        <v>2019</v>
      </c>
      <c r="V201" s="228">
        <v>2020</v>
      </c>
      <c r="W201" s="228">
        <v>2021</v>
      </c>
      <c r="X201" s="228">
        <v>2022</v>
      </c>
      <c r="Y201" s="231">
        <v>2023</v>
      </c>
      <c r="Z201" s="230">
        <v>2024</v>
      </c>
      <c r="AB201" s="231" t="s">
        <v>291</v>
      </c>
      <c r="AC201" s="231" t="s">
        <v>292</v>
      </c>
      <c r="AD201" s="231" t="s">
        <v>293</v>
      </c>
      <c r="AE201" s="231">
        <v>2023</v>
      </c>
      <c r="AF201" s="232" t="s">
        <v>318</v>
      </c>
      <c r="AG201" s="232" t="s">
        <v>319</v>
      </c>
      <c r="AH201" s="232" t="s">
        <v>320</v>
      </c>
      <c r="AI201" s="232">
        <v>2024</v>
      </c>
      <c r="AK201" s="231" t="s">
        <v>291</v>
      </c>
      <c r="AL201" s="231" t="s">
        <v>296</v>
      </c>
      <c r="AM201" s="231" t="s">
        <v>294</v>
      </c>
      <c r="AN201" s="231" t="s">
        <v>295</v>
      </c>
      <c r="AO201" s="232" t="s">
        <v>318</v>
      </c>
      <c r="AP201" s="232" t="s">
        <v>321</v>
      </c>
      <c r="AQ201" s="232" t="s">
        <v>322</v>
      </c>
      <c r="AR201" s="232" t="s">
        <v>323</v>
      </c>
    </row>
    <row r="202" spans="2:47" ht="15" customHeight="1" x14ac:dyDescent="0.25">
      <c r="B202" s="89" t="s">
        <v>102</v>
      </c>
      <c r="C202" s="89"/>
      <c r="D202" s="89"/>
      <c r="E202" s="89"/>
      <c r="F202" s="89"/>
      <c r="G202" s="89"/>
      <c r="H202" s="89"/>
      <c r="I202" s="89"/>
      <c r="J202" s="89"/>
      <c r="K202" s="89"/>
      <c r="L202" s="89"/>
      <c r="M202" s="89"/>
      <c r="N202" s="89"/>
      <c r="O202" s="89"/>
      <c r="P202" s="89"/>
      <c r="Q202" s="89"/>
      <c r="R202" s="89"/>
      <c r="S202" s="89"/>
      <c r="T202" s="355">
        <v>434.46997201355873</v>
      </c>
      <c r="U202" s="355">
        <v>566.68493635910374</v>
      </c>
      <c r="V202" s="355">
        <v>445.69499835799922</v>
      </c>
      <c r="W202" s="355">
        <v>542.92719822999959</v>
      </c>
      <c r="X202" s="355">
        <v>845.8259852931169</v>
      </c>
      <c r="Y202" s="382">
        <f t="shared" ref="Y202:Y213" si="86">AE202</f>
        <v>902.03020143458355</v>
      </c>
      <c r="Z202" s="355"/>
      <c r="AA202" s="253"/>
      <c r="AB202" s="355">
        <v>225.05863896981296</v>
      </c>
      <c r="AC202" s="382">
        <v>414.5755351016756</v>
      </c>
      <c r="AD202" s="382">
        <v>675.5798973088107</v>
      </c>
      <c r="AE202" s="382">
        <v>902.03020143458355</v>
      </c>
      <c r="AF202" s="355">
        <v>235.15041091845799</v>
      </c>
      <c r="AG202" s="382"/>
      <c r="AH202" s="382"/>
      <c r="AI202" s="382"/>
      <c r="AJ202" s="355"/>
      <c r="AK202" s="355">
        <f t="shared" ref="AK202:AK213" si="87">AB202</f>
        <v>225.05863896981296</v>
      </c>
      <c r="AL202" s="355">
        <f t="shared" ref="AL202:AL213" si="88">AC202-AB202</f>
        <v>189.51689613186264</v>
      </c>
      <c r="AM202" s="355">
        <f t="shared" ref="AM202:AM213" si="89">AD202-AC202</f>
        <v>261.0043622071351</v>
      </c>
      <c r="AN202" s="355">
        <f t="shared" ref="AN202:AN213" si="90">AE202-AD202</f>
        <v>226.45030412577285</v>
      </c>
      <c r="AO202" s="355">
        <f t="shared" ref="AO202:AO213" si="91">AF202</f>
        <v>235.15041091845799</v>
      </c>
      <c r="AP202" s="355"/>
      <c r="AQ202" s="355"/>
      <c r="AR202" s="355"/>
    </row>
    <row r="203" spans="2:47" ht="15" customHeight="1" x14ac:dyDescent="0.25">
      <c r="B203" s="109" t="s">
        <v>123</v>
      </c>
      <c r="C203" s="109"/>
      <c r="D203" s="109"/>
      <c r="E203" s="109"/>
      <c r="F203" s="109"/>
      <c r="G203" s="109"/>
      <c r="H203" s="109"/>
      <c r="I203" s="109"/>
      <c r="J203" s="109"/>
      <c r="K203" s="109"/>
      <c r="L203" s="109"/>
      <c r="M203" s="109"/>
      <c r="N203" s="109"/>
      <c r="O203" s="109"/>
      <c r="P203" s="109"/>
      <c r="Q203" s="109"/>
      <c r="R203" s="109"/>
      <c r="S203" s="109"/>
      <c r="T203" s="386">
        <v>425.83611525744249</v>
      </c>
      <c r="U203" s="386">
        <v>510.92558404976609</v>
      </c>
      <c r="V203" s="356">
        <v>379.38402424094784</v>
      </c>
      <c r="W203" s="356">
        <v>434.2391032419996</v>
      </c>
      <c r="X203" s="356">
        <v>648.05120114987585</v>
      </c>
      <c r="Y203" s="359">
        <f t="shared" si="86"/>
        <v>669.27759671386764</v>
      </c>
      <c r="Z203" s="386"/>
      <c r="AA203" s="253"/>
      <c r="AB203" s="356">
        <v>176.24156404544692</v>
      </c>
      <c r="AC203" s="359">
        <v>320.23456411427719</v>
      </c>
      <c r="AD203" s="359">
        <v>492.31617386694143</v>
      </c>
      <c r="AE203" s="359">
        <v>669.27759671386764</v>
      </c>
      <c r="AF203" s="356">
        <v>192.408355868505</v>
      </c>
      <c r="AG203" s="359"/>
      <c r="AH203" s="359"/>
      <c r="AI203" s="359"/>
      <c r="AJ203" s="356"/>
      <c r="AK203" s="384">
        <f t="shared" si="87"/>
        <v>176.24156404544692</v>
      </c>
      <c r="AL203" s="384">
        <f t="shared" si="88"/>
        <v>143.99300006883027</v>
      </c>
      <c r="AM203" s="384">
        <f t="shared" si="89"/>
        <v>172.08160975266424</v>
      </c>
      <c r="AN203" s="384">
        <f t="shared" si="90"/>
        <v>176.96142284692621</v>
      </c>
      <c r="AO203" s="384">
        <f t="shared" si="91"/>
        <v>192.408355868505</v>
      </c>
      <c r="AP203" s="384"/>
      <c r="AQ203" s="384"/>
      <c r="AR203" s="384"/>
    </row>
    <row r="204" spans="2:47" ht="15" customHeight="1" x14ac:dyDescent="0.25">
      <c r="B204" s="109" t="s">
        <v>124</v>
      </c>
      <c r="C204" s="109"/>
      <c r="D204" s="109"/>
      <c r="E204" s="109"/>
      <c r="F204" s="109"/>
      <c r="G204" s="109"/>
      <c r="H204" s="109"/>
      <c r="I204" s="109"/>
      <c r="J204" s="109"/>
      <c r="K204" s="109"/>
      <c r="L204" s="109"/>
      <c r="M204" s="109"/>
      <c r="N204" s="109"/>
      <c r="O204" s="109"/>
      <c r="P204" s="109"/>
      <c r="Q204" s="109"/>
      <c r="R204" s="109"/>
      <c r="S204" s="109"/>
      <c r="T204" s="386">
        <v>8.6338330831438661</v>
      </c>
      <c r="U204" s="386">
        <v>55.759352309337558</v>
      </c>
      <c r="V204" s="356">
        <v>66.518680622334273</v>
      </c>
      <c r="W204" s="356">
        <v>108.68809498799996</v>
      </c>
      <c r="X204" s="356">
        <v>197.77478414324705</v>
      </c>
      <c r="Y204" s="359">
        <f t="shared" si="86"/>
        <v>232.75260472071096</v>
      </c>
      <c r="Z204" s="386"/>
      <c r="AB204" s="356">
        <v>48.817074926158014</v>
      </c>
      <c r="AC204" s="359">
        <v>94.340970987400027</v>
      </c>
      <c r="AD204" s="359">
        <v>183.26372344186902</v>
      </c>
      <c r="AE204" s="359">
        <v>232.75260472071096</v>
      </c>
      <c r="AF204" s="356">
        <v>42.742055048095018</v>
      </c>
      <c r="AG204" s="359"/>
      <c r="AH204" s="359"/>
      <c r="AI204" s="359"/>
      <c r="AJ204" s="356"/>
      <c r="AK204" s="384">
        <f t="shared" si="87"/>
        <v>48.817074926158014</v>
      </c>
      <c r="AL204" s="384">
        <f t="shared" si="88"/>
        <v>45.523896061242013</v>
      </c>
      <c r="AM204" s="384">
        <f t="shared" si="89"/>
        <v>88.922752454468991</v>
      </c>
      <c r="AN204" s="384">
        <f t="shared" si="90"/>
        <v>49.488881278841944</v>
      </c>
      <c r="AO204" s="384">
        <f t="shared" si="91"/>
        <v>42.742055048095018</v>
      </c>
      <c r="AP204" s="384"/>
      <c r="AQ204" s="384"/>
      <c r="AR204" s="384"/>
    </row>
    <row r="205" spans="2:47" ht="15" customHeight="1" x14ac:dyDescent="0.25">
      <c r="B205" s="90" t="s">
        <v>148</v>
      </c>
      <c r="C205" s="90"/>
      <c r="D205" s="90"/>
      <c r="E205" s="90"/>
      <c r="F205" s="90"/>
      <c r="G205" s="90"/>
      <c r="H205" s="90"/>
      <c r="I205" s="90"/>
      <c r="J205" s="90"/>
      <c r="K205" s="90"/>
      <c r="L205" s="90"/>
      <c r="M205" s="90"/>
      <c r="N205" s="90"/>
      <c r="O205" s="90"/>
      <c r="P205" s="90"/>
      <c r="Q205" s="90"/>
      <c r="R205" s="90"/>
      <c r="S205" s="90"/>
      <c r="T205" s="384">
        <v>184.29190372971934</v>
      </c>
      <c r="U205" s="384">
        <v>159.81776920969534</v>
      </c>
      <c r="V205" s="356">
        <v>133.86831902700001</v>
      </c>
      <c r="W205" s="356">
        <v>126.57021862000003</v>
      </c>
      <c r="X205" s="356">
        <v>176.53236095343593</v>
      </c>
      <c r="Y205" s="359">
        <f t="shared" si="86"/>
        <v>193.71468114384299</v>
      </c>
      <c r="Z205" s="384"/>
      <c r="AB205" s="356">
        <v>44.218309150284</v>
      </c>
      <c r="AC205" s="359">
        <v>90.258195818944017</v>
      </c>
      <c r="AD205" s="359">
        <v>138.57474875177599</v>
      </c>
      <c r="AE205" s="359">
        <v>193.71468114384299</v>
      </c>
      <c r="AF205" s="356">
        <v>49.163051880415992</v>
      </c>
      <c r="AG205" s="359"/>
      <c r="AH205" s="359"/>
      <c r="AI205" s="359"/>
      <c r="AJ205" s="356"/>
      <c r="AK205" s="356">
        <f t="shared" si="87"/>
        <v>44.218309150284</v>
      </c>
      <c r="AL205" s="356">
        <f t="shared" si="88"/>
        <v>46.039886668660017</v>
      </c>
      <c r="AM205" s="356">
        <f t="shared" si="89"/>
        <v>48.316552932831968</v>
      </c>
      <c r="AN205" s="356">
        <f t="shared" si="90"/>
        <v>55.13993239206701</v>
      </c>
      <c r="AO205" s="356">
        <f t="shared" si="91"/>
        <v>49.163051880415992</v>
      </c>
      <c r="AP205" s="356"/>
      <c r="AQ205" s="356"/>
      <c r="AR205" s="356"/>
    </row>
    <row r="206" spans="2:47" ht="15" customHeight="1" x14ac:dyDescent="0.25">
      <c r="B206" s="90" t="s">
        <v>149</v>
      </c>
      <c r="C206" s="90"/>
      <c r="D206" s="90"/>
      <c r="E206" s="90"/>
      <c r="F206" s="90"/>
      <c r="G206" s="90"/>
      <c r="H206" s="90"/>
      <c r="I206" s="90"/>
      <c r="J206" s="90"/>
      <c r="K206" s="90"/>
      <c r="L206" s="90"/>
      <c r="M206" s="90"/>
      <c r="N206" s="90"/>
      <c r="O206" s="90"/>
      <c r="P206" s="90"/>
      <c r="Q206" s="90"/>
      <c r="R206" s="90"/>
      <c r="S206" s="90"/>
      <c r="T206" s="384">
        <v>44.317474541302467</v>
      </c>
      <c r="U206" s="384">
        <v>47.254298570171748</v>
      </c>
      <c r="V206" s="356">
        <v>41.959564431999986</v>
      </c>
      <c r="W206" s="356">
        <v>-10.949123147000002</v>
      </c>
      <c r="X206" s="356">
        <v>54.559659466418005</v>
      </c>
      <c r="Y206" s="359">
        <f t="shared" si="86"/>
        <v>87.483255500962002</v>
      </c>
      <c r="Z206" s="384"/>
      <c r="AB206" s="356">
        <v>14.364920232989</v>
      </c>
      <c r="AC206" s="359">
        <v>27.847679524656002</v>
      </c>
      <c r="AD206" s="359">
        <v>71.192466870777011</v>
      </c>
      <c r="AE206" s="359">
        <v>87.483255500962002</v>
      </c>
      <c r="AF206" s="356">
        <v>60.383848744195198</v>
      </c>
      <c r="AG206" s="359"/>
      <c r="AH206" s="359"/>
      <c r="AI206" s="359"/>
      <c r="AJ206" s="356"/>
      <c r="AK206" s="356">
        <f t="shared" si="87"/>
        <v>14.364920232989</v>
      </c>
      <c r="AL206" s="356">
        <f t="shared" si="88"/>
        <v>13.482759291667001</v>
      </c>
      <c r="AM206" s="356">
        <f t="shared" si="89"/>
        <v>43.344787346121009</v>
      </c>
      <c r="AN206" s="356">
        <f t="shared" si="90"/>
        <v>16.290788630184991</v>
      </c>
      <c r="AO206" s="356">
        <f t="shared" si="91"/>
        <v>60.383848744195198</v>
      </c>
      <c r="AP206" s="356"/>
      <c r="AQ206" s="356"/>
      <c r="AR206" s="356"/>
      <c r="AS206" s="387"/>
    </row>
    <row r="207" spans="2:47" ht="15" customHeight="1" x14ac:dyDescent="0.25">
      <c r="B207" s="89" t="s">
        <v>150</v>
      </c>
      <c r="C207" s="89"/>
      <c r="D207" s="89"/>
      <c r="E207" s="89"/>
      <c r="F207" s="89"/>
      <c r="G207" s="89"/>
      <c r="H207" s="89"/>
      <c r="I207" s="89"/>
      <c r="J207" s="89"/>
      <c r="K207" s="89"/>
      <c r="L207" s="89"/>
      <c r="M207" s="89"/>
      <c r="N207" s="89"/>
      <c r="O207" s="89"/>
      <c r="P207" s="89"/>
      <c r="Q207" s="89"/>
      <c r="R207" s="89"/>
      <c r="S207" s="89"/>
      <c r="T207" s="382">
        <f>+T205+T206</f>
        <v>228.6093782710218</v>
      </c>
      <c r="U207" s="382">
        <f>+U205+U206</f>
        <v>207.0720677798671</v>
      </c>
      <c r="V207" s="355">
        <f>+V205+V206</f>
        <v>175.82788345899999</v>
      </c>
      <c r="W207" s="355">
        <f>+W205+W206</f>
        <v>115.62109547300003</v>
      </c>
      <c r="X207" s="355">
        <f t="shared" ref="X207" si="92">+X205+X206</f>
        <v>231.09202041985392</v>
      </c>
      <c r="Y207" s="382">
        <f t="shared" si="86"/>
        <v>281.197936644805</v>
      </c>
      <c r="Z207" s="382"/>
      <c r="AB207" s="355">
        <f t="shared" ref="AB207" si="93">+AB205+AB206</f>
        <v>58.583229383273</v>
      </c>
      <c r="AC207" s="382">
        <f>+AC205+AC206</f>
        <v>118.10587534360002</v>
      </c>
      <c r="AD207" s="382">
        <f>+AD205+AD206</f>
        <v>209.76721562255301</v>
      </c>
      <c r="AE207" s="382">
        <f>+AE205+AE206</f>
        <v>281.197936644805</v>
      </c>
      <c r="AF207" s="355">
        <f>+AF205+AF206</f>
        <v>109.5469006246112</v>
      </c>
      <c r="AG207" s="382"/>
      <c r="AH207" s="382"/>
      <c r="AI207" s="382"/>
      <c r="AJ207" s="355"/>
      <c r="AK207" s="355">
        <f t="shared" si="87"/>
        <v>58.583229383273</v>
      </c>
      <c r="AL207" s="355">
        <f t="shared" si="88"/>
        <v>59.522645960327019</v>
      </c>
      <c r="AM207" s="355">
        <f t="shared" si="89"/>
        <v>91.661340278952991</v>
      </c>
      <c r="AN207" s="355">
        <f t="shared" si="90"/>
        <v>71.430721022251987</v>
      </c>
      <c r="AO207" s="355">
        <f t="shared" si="91"/>
        <v>109.5469006246112</v>
      </c>
      <c r="AP207" s="355"/>
      <c r="AQ207" s="355"/>
      <c r="AR207" s="355"/>
    </row>
    <row r="208" spans="2:47" ht="15" customHeight="1" x14ac:dyDescent="0.25">
      <c r="B208" s="85" t="s">
        <v>151</v>
      </c>
      <c r="C208" s="85"/>
      <c r="D208" s="85"/>
      <c r="E208" s="85"/>
      <c r="F208" s="85"/>
      <c r="G208" s="85"/>
      <c r="H208" s="85"/>
      <c r="I208" s="85"/>
      <c r="J208" s="85"/>
      <c r="K208" s="85"/>
      <c r="L208" s="85"/>
      <c r="M208" s="85"/>
      <c r="N208" s="85"/>
      <c r="O208" s="85"/>
      <c r="P208" s="85"/>
      <c r="Q208" s="85"/>
      <c r="R208" s="85"/>
      <c r="S208" s="85"/>
      <c r="T208" s="384">
        <v>0</v>
      </c>
      <c r="U208" s="384">
        <v>5.5595331444438774</v>
      </c>
      <c r="V208" s="356">
        <v>0</v>
      </c>
      <c r="W208" s="356">
        <v>0</v>
      </c>
      <c r="X208" s="356">
        <v>0</v>
      </c>
      <c r="Y208" s="359">
        <f t="shared" si="86"/>
        <v>0</v>
      </c>
      <c r="Z208" s="384"/>
      <c r="AB208" s="356">
        <v>0</v>
      </c>
      <c r="AC208" s="359">
        <v>0</v>
      </c>
      <c r="AD208" s="359">
        <v>-5.5299997329711914E-9</v>
      </c>
      <c r="AE208" s="359">
        <v>0</v>
      </c>
      <c r="AF208" s="356">
        <v>5.1987643709110003</v>
      </c>
      <c r="AG208" s="359"/>
      <c r="AH208" s="359"/>
      <c r="AI208" s="359"/>
      <c r="AJ208" s="356"/>
      <c r="AK208" s="357">
        <f t="shared" si="87"/>
        <v>0</v>
      </c>
      <c r="AL208" s="357">
        <f t="shared" si="88"/>
        <v>0</v>
      </c>
      <c r="AM208" s="357">
        <f t="shared" si="89"/>
        <v>-5.5299997329711914E-9</v>
      </c>
      <c r="AN208" s="357">
        <f t="shared" si="90"/>
        <v>5.5299997329711914E-9</v>
      </c>
      <c r="AO208" s="357">
        <f t="shared" si="91"/>
        <v>5.1987643709110003</v>
      </c>
      <c r="AP208" s="357"/>
      <c r="AQ208" s="357"/>
      <c r="AR208" s="357"/>
      <c r="AU208" s="253"/>
    </row>
    <row r="209" spans="2:44" ht="15" customHeight="1" x14ac:dyDescent="0.25">
      <c r="B209" s="77" t="s">
        <v>72</v>
      </c>
      <c r="C209" s="77"/>
      <c r="D209" s="77"/>
      <c r="E209" s="77"/>
      <c r="F209" s="77"/>
      <c r="G209" s="77"/>
      <c r="H209" s="77"/>
      <c r="I209" s="77"/>
      <c r="J209" s="77"/>
      <c r="K209" s="77"/>
      <c r="L209" s="77"/>
      <c r="M209" s="77"/>
      <c r="N209" s="77"/>
      <c r="O209" s="77"/>
      <c r="P209" s="77"/>
      <c r="Q209" s="77"/>
      <c r="R209" s="77"/>
      <c r="S209" s="77"/>
      <c r="T209" s="355">
        <v>205.86059374253691</v>
      </c>
      <c r="U209" s="355">
        <v>365.17240172368054</v>
      </c>
      <c r="V209" s="355">
        <v>269.61742201450289</v>
      </c>
      <c r="W209" s="355">
        <v>427.30610275699991</v>
      </c>
      <c r="X209" s="355">
        <v>614.73396487510718</v>
      </c>
      <c r="Y209" s="382">
        <f t="shared" si="86"/>
        <v>620.83226478977349</v>
      </c>
      <c r="Z209" s="355"/>
      <c r="AB209" s="355">
        <v>166.47540958833213</v>
      </c>
      <c r="AC209" s="382">
        <v>296.469659758077</v>
      </c>
      <c r="AD209" s="382">
        <v>465.81268168072762</v>
      </c>
      <c r="AE209" s="382">
        <v>620.83226478977349</v>
      </c>
      <c r="AF209" s="355">
        <v>251.56997215314814</v>
      </c>
      <c r="AG209" s="382"/>
      <c r="AH209" s="382"/>
      <c r="AI209" s="382"/>
      <c r="AJ209" s="355"/>
      <c r="AK209" s="355">
        <f t="shared" si="87"/>
        <v>166.47540958833213</v>
      </c>
      <c r="AL209" s="355">
        <f t="shared" si="88"/>
        <v>129.99425016974487</v>
      </c>
      <c r="AM209" s="355">
        <f t="shared" si="89"/>
        <v>169.34302192265062</v>
      </c>
      <c r="AN209" s="355">
        <f t="shared" si="90"/>
        <v>155.01958310904587</v>
      </c>
      <c r="AO209" s="355">
        <f t="shared" si="91"/>
        <v>251.56997215314814</v>
      </c>
      <c r="AP209" s="355"/>
      <c r="AQ209" s="355"/>
      <c r="AR209" s="355"/>
    </row>
    <row r="210" spans="2:44" ht="15" customHeight="1" x14ac:dyDescent="0.25">
      <c r="B210" s="109" t="s">
        <v>123</v>
      </c>
      <c r="C210" s="109"/>
      <c r="D210" s="109"/>
      <c r="E210" s="109"/>
      <c r="F210" s="109"/>
      <c r="G210" s="109"/>
      <c r="H210" s="109"/>
      <c r="I210" s="109"/>
      <c r="J210" s="109"/>
      <c r="K210" s="109"/>
      <c r="L210" s="109"/>
      <c r="M210" s="109"/>
      <c r="N210" s="109"/>
      <c r="O210" s="109"/>
      <c r="P210" s="109"/>
      <c r="Q210" s="109"/>
      <c r="R210" s="109"/>
      <c r="S210" s="109"/>
      <c r="T210" s="384">
        <v>199.16847786334878</v>
      </c>
      <c r="U210" s="384">
        <v>313.30332813512592</v>
      </c>
      <c r="V210" s="356">
        <v>206.76490834686101</v>
      </c>
      <c r="W210" s="356">
        <v>277.25936498599992</v>
      </c>
      <c r="X210" s="356">
        <v>436.36291479040204</v>
      </c>
      <c r="Y210" s="359">
        <f t="shared" si="86"/>
        <v>437.03235559688341</v>
      </c>
      <c r="Z210" s="384"/>
      <c r="AB210" s="356">
        <v>122.08681157959606</v>
      </c>
      <c r="AC210" s="359">
        <v>211.14664149896097</v>
      </c>
      <c r="AD210" s="359">
        <v>324.94333870892757</v>
      </c>
      <c r="AE210" s="359">
        <v>437.03235559688341</v>
      </c>
      <c r="AF210" s="356">
        <v>141.97313510911317</v>
      </c>
      <c r="AG210" s="359"/>
      <c r="AH210" s="359"/>
      <c r="AI210" s="359"/>
      <c r="AJ210" s="356"/>
      <c r="AK210" s="384">
        <f t="shared" si="87"/>
        <v>122.08681157959606</v>
      </c>
      <c r="AL210" s="384">
        <f t="shared" si="88"/>
        <v>89.059829919364915</v>
      </c>
      <c r="AM210" s="384">
        <f t="shared" si="89"/>
        <v>113.7966972099666</v>
      </c>
      <c r="AN210" s="384">
        <f t="shared" si="90"/>
        <v>112.08901688795584</v>
      </c>
      <c r="AO210" s="384">
        <f t="shared" si="91"/>
        <v>141.97313510911317</v>
      </c>
      <c r="AP210" s="384"/>
      <c r="AQ210" s="384"/>
      <c r="AR210" s="384"/>
    </row>
    <row r="211" spans="2:44" ht="15" customHeight="1" x14ac:dyDescent="0.25">
      <c r="B211" s="109" t="s">
        <v>124</v>
      </c>
      <c r="C211" s="109"/>
      <c r="D211" s="109"/>
      <c r="E211" s="109"/>
      <c r="F211" s="109"/>
      <c r="G211" s="109"/>
      <c r="H211" s="109"/>
      <c r="I211" s="109"/>
      <c r="J211" s="109"/>
      <c r="K211" s="109"/>
      <c r="L211" s="109"/>
      <c r="M211" s="109"/>
      <c r="N211" s="109"/>
      <c r="O211" s="109"/>
      <c r="P211" s="109"/>
      <c r="Q211" s="109"/>
      <c r="R211" s="109"/>
      <c r="S211" s="109"/>
      <c r="T211" s="384">
        <v>6.6921158791881146</v>
      </c>
      <c r="U211" s="384">
        <v>51.869073588554585</v>
      </c>
      <c r="V211" s="356">
        <v>62.85251366764188</v>
      </c>
      <c r="W211" s="356">
        <v>150.04673777099998</v>
      </c>
      <c r="X211" s="356">
        <v>178.37105008470508</v>
      </c>
      <c r="Y211" s="359">
        <f t="shared" si="86"/>
        <v>183.79990919289006</v>
      </c>
      <c r="Z211" s="384"/>
      <c r="AB211" s="356">
        <v>44.388598008736068</v>
      </c>
      <c r="AC211" s="359">
        <v>85.32301825911604</v>
      </c>
      <c r="AD211" s="359">
        <v>140.86934297180005</v>
      </c>
      <c r="AE211" s="359">
        <v>183.79990919289006</v>
      </c>
      <c r="AF211" s="356">
        <v>109.59683704403201</v>
      </c>
      <c r="AG211" s="359"/>
      <c r="AH211" s="359"/>
      <c r="AI211" s="359"/>
      <c r="AJ211" s="356"/>
      <c r="AK211" s="384">
        <f t="shared" si="87"/>
        <v>44.388598008736068</v>
      </c>
      <c r="AL211" s="384">
        <f t="shared" si="88"/>
        <v>40.934420250379972</v>
      </c>
      <c r="AM211" s="384">
        <f t="shared" si="89"/>
        <v>55.546324712684012</v>
      </c>
      <c r="AN211" s="384">
        <f t="shared" si="90"/>
        <v>42.930566221090004</v>
      </c>
      <c r="AO211" s="384">
        <f t="shared" si="91"/>
        <v>109.59683704403201</v>
      </c>
      <c r="AP211" s="384"/>
      <c r="AQ211" s="384"/>
      <c r="AR211" s="384"/>
    </row>
    <row r="212" spans="2:44" ht="15" customHeight="1" x14ac:dyDescent="0.25">
      <c r="B212" s="83" t="s">
        <v>152</v>
      </c>
      <c r="C212" s="83"/>
      <c r="D212" s="83"/>
      <c r="E212" s="83"/>
      <c r="F212" s="83"/>
      <c r="G212" s="83"/>
      <c r="H212" s="83"/>
      <c r="I212" s="83"/>
      <c r="J212" s="83"/>
      <c r="K212" s="83"/>
      <c r="L212" s="83"/>
      <c r="M212" s="83"/>
      <c r="N212" s="83"/>
      <c r="O212" s="83"/>
      <c r="P212" s="83"/>
      <c r="Q212" s="83"/>
      <c r="R212" s="83"/>
      <c r="S212" s="83"/>
      <c r="T212" s="384">
        <v>62.443481203653739</v>
      </c>
      <c r="U212" s="384">
        <v>67.006268525227654</v>
      </c>
      <c r="V212" s="356">
        <v>72.882380488455226</v>
      </c>
      <c r="W212" s="356">
        <v>69.488573286828</v>
      </c>
      <c r="X212" s="356">
        <v>95.015139690827993</v>
      </c>
      <c r="Y212" s="359">
        <f t="shared" si="86"/>
        <v>110.65051255596399</v>
      </c>
      <c r="Z212" s="384"/>
      <c r="AB212" s="356">
        <v>26.312620942254998</v>
      </c>
      <c r="AC212" s="359">
        <v>44.713810531223096</v>
      </c>
      <c r="AD212" s="359">
        <v>80.041425542786001</v>
      </c>
      <c r="AE212" s="359">
        <v>110.65051255596399</v>
      </c>
      <c r="AF212" s="356">
        <v>28.400293876255002</v>
      </c>
      <c r="AG212" s="359"/>
      <c r="AH212" s="359"/>
      <c r="AI212" s="359"/>
      <c r="AJ212" s="355"/>
      <c r="AK212" s="356">
        <f t="shared" si="87"/>
        <v>26.312620942254998</v>
      </c>
      <c r="AL212" s="356">
        <f t="shared" si="88"/>
        <v>18.401189588968098</v>
      </c>
      <c r="AM212" s="356">
        <f t="shared" si="89"/>
        <v>35.327615011562905</v>
      </c>
      <c r="AN212" s="356">
        <f t="shared" si="90"/>
        <v>30.609087013177984</v>
      </c>
      <c r="AO212" s="356">
        <f t="shared" si="91"/>
        <v>28.400293876255002</v>
      </c>
      <c r="AP212" s="356"/>
      <c r="AQ212" s="356"/>
      <c r="AR212" s="356"/>
    </row>
    <row r="213" spans="2:44" ht="15" customHeight="1" x14ac:dyDescent="0.25">
      <c r="B213" s="77" t="s">
        <v>77</v>
      </c>
      <c r="C213" s="77"/>
      <c r="D213" s="77"/>
      <c r="E213" s="77"/>
      <c r="F213" s="77"/>
      <c r="G213" s="77"/>
      <c r="H213" s="77"/>
      <c r="I213" s="77"/>
      <c r="J213" s="77"/>
      <c r="K213" s="77"/>
      <c r="L213" s="77"/>
      <c r="M213" s="77"/>
      <c r="N213" s="77"/>
      <c r="O213" s="77"/>
      <c r="P213" s="77"/>
      <c r="Q213" s="77"/>
      <c r="R213" s="77"/>
      <c r="S213" s="77"/>
      <c r="T213" s="355">
        <v>143.41711253888317</v>
      </c>
      <c r="U213" s="355">
        <v>298.16613319845288</v>
      </c>
      <c r="V213" s="355">
        <v>196.7350415260477</v>
      </c>
      <c r="W213" s="382">
        <v>357.40112347442704</v>
      </c>
      <c r="X213" s="382">
        <v>519.71882518427856</v>
      </c>
      <c r="Y213" s="382">
        <f t="shared" si="86"/>
        <v>510.18175223381519</v>
      </c>
      <c r="Z213" s="355"/>
      <c r="AA213" s="253"/>
      <c r="AB213" s="382">
        <v>140.1627886460731</v>
      </c>
      <c r="AC213" s="382">
        <v>251.75584922684746</v>
      </c>
      <c r="AD213" s="382">
        <v>385.77125613793407</v>
      </c>
      <c r="AE213" s="382">
        <v>510.18175223381519</v>
      </c>
      <c r="AF213" s="382">
        <v>223.16967827689305</v>
      </c>
      <c r="AG213" s="382"/>
      <c r="AH213" s="382"/>
      <c r="AI213" s="382"/>
      <c r="AK213" s="355">
        <f t="shared" si="87"/>
        <v>140.1627886460731</v>
      </c>
      <c r="AL213" s="355">
        <f t="shared" si="88"/>
        <v>111.59306058077436</v>
      </c>
      <c r="AM213" s="355">
        <f t="shared" si="89"/>
        <v>134.01540691108661</v>
      </c>
      <c r="AN213" s="355">
        <f t="shared" si="90"/>
        <v>124.41049609588111</v>
      </c>
      <c r="AO213" s="355">
        <f t="shared" si="91"/>
        <v>223.16967827689305</v>
      </c>
      <c r="AP213" s="355"/>
      <c r="AQ213" s="355"/>
      <c r="AR213" s="355"/>
    </row>
    <row r="214" spans="2:44" ht="15" customHeight="1" x14ac:dyDescent="0.25">
      <c r="AF214" s="393"/>
      <c r="AG214" s="362"/>
    </row>
    <row r="215" spans="2:44" ht="15" customHeight="1" x14ac:dyDescent="0.25">
      <c r="B215" s="174" t="s">
        <v>228</v>
      </c>
      <c r="C215" s="174"/>
      <c r="D215" s="174"/>
      <c r="E215" s="174"/>
      <c r="F215" s="174"/>
      <c r="G215" s="174"/>
      <c r="H215" s="174"/>
      <c r="I215" s="174"/>
      <c r="J215" s="174"/>
      <c r="K215" s="174"/>
      <c r="L215" s="174"/>
      <c r="M215" s="174"/>
      <c r="N215" s="174"/>
      <c r="O215" s="174"/>
      <c r="P215" s="174"/>
      <c r="Q215" s="174"/>
      <c r="R215" s="174"/>
      <c r="S215" s="174"/>
      <c r="T215" s="228">
        <v>2018</v>
      </c>
      <c r="U215" s="228">
        <v>2019</v>
      </c>
      <c r="V215" s="228">
        <v>2020</v>
      </c>
      <c r="W215" s="228">
        <v>2021</v>
      </c>
      <c r="X215" s="228">
        <v>2022</v>
      </c>
      <c r="Y215" s="231">
        <v>2023</v>
      </c>
      <c r="Z215" s="230">
        <v>2024</v>
      </c>
      <c r="AB215" s="231" t="s">
        <v>291</v>
      </c>
      <c r="AC215" s="231" t="s">
        <v>292</v>
      </c>
      <c r="AD215" s="231" t="s">
        <v>293</v>
      </c>
      <c r="AE215" s="231">
        <v>2023</v>
      </c>
      <c r="AF215" s="232" t="s">
        <v>318</v>
      </c>
      <c r="AG215" s="232" t="s">
        <v>319</v>
      </c>
      <c r="AH215" s="232" t="s">
        <v>320</v>
      </c>
      <c r="AI215" s="232">
        <v>2024</v>
      </c>
      <c r="AK215" s="231" t="s">
        <v>291</v>
      </c>
      <c r="AL215" s="231" t="s">
        <v>296</v>
      </c>
      <c r="AM215" s="231" t="s">
        <v>294</v>
      </c>
      <c r="AN215" s="231" t="s">
        <v>295</v>
      </c>
      <c r="AO215" s="232" t="s">
        <v>318</v>
      </c>
      <c r="AP215" s="232" t="s">
        <v>321</v>
      </c>
      <c r="AQ215" s="232" t="s">
        <v>322</v>
      </c>
      <c r="AR215" s="232" t="s">
        <v>323</v>
      </c>
    </row>
    <row r="216" spans="2:44" ht="15" customHeight="1" x14ac:dyDescent="0.25">
      <c r="B216" s="160" t="s">
        <v>102</v>
      </c>
      <c r="T216" s="355">
        <f>T185</f>
        <v>1832.4598304001124</v>
      </c>
      <c r="U216" s="355">
        <f>U185</f>
        <v>2253</v>
      </c>
      <c r="V216" s="355">
        <f>V185</f>
        <v>2233.3252525699977</v>
      </c>
      <c r="W216" s="355">
        <f>W185</f>
        <v>2769.5292341899994</v>
      </c>
      <c r="X216" s="355">
        <f t="shared" ref="X216" si="94">X185</f>
        <v>3525.336321339998</v>
      </c>
      <c r="Y216" s="355">
        <f>AE216</f>
        <v>3614.7743233500005</v>
      </c>
      <c r="Z216" s="355"/>
      <c r="AA216" s="355"/>
      <c r="AB216" s="355">
        <f t="shared" ref="AB216:AC216" si="95">AB185</f>
        <v>982.55535539000061</v>
      </c>
      <c r="AC216" s="355">
        <f t="shared" si="95"/>
        <v>1755.7458816200003</v>
      </c>
      <c r="AD216" s="355">
        <f t="shared" ref="AD216:AF216" si="96">AD185</f>
        <v>2670.5769621999989</v>
      </c>
      <c r="AE216" s="355">
        <f t="shared" si="96"/>
        <v>3614.7743233500005</v>
      </c>
      <c r="AF216" s="355">
        <f t="shared" si="96"/>
        <v>1034.2385894900001</v>
      </c>
      <c r="AG216" s="355"/>
      <c r="AH216" s="355"/>
      <c r="AI216" s="355"/>
      <c r="AJ216" s="355"/>
      <c r="AK216" s="355">
        <f>AB216</f>
        <v>982.55535539000061</v>
      </c>
      <c r="AL216" s="355">
        <f t="shared" ref="AL216:AN217" si="97">AC216-AB216</f>
        <v>773.1905262299997</v>
      </c>
      <c r="AM216" s="355">
        <f t="shared" si="97"/>
        <v>914.83108057999857</v>
      </c>
      <c r="AN216" s="355">
        <f t="shared" si="97"/>
        <v>944.1973611500016</v>
      </c>
      <c r="AO216" s="355">
        <f>AF216</f>
        <v>1034.2385894900001</v>
      </c>
      <c r="AP216" s="355"/>
      <c r="AQ216" s="355"/>
      <c r="AR216" s="355"/>
    </row>
    <row r="217" spans="2:44" ht="15" customHeight="1" x14ac:dyDescent="0.25">
      <c r="B217" s="160" t="s">
        <v>72</v>
      </c>
      <c r="T217" s="355">
        <f>T194</f>
        <v>886.96392712999955</v>
      </c>
      <c r="U217" s="355">
        <f>U194</f>
        <v>1392.6288562600002</v>
      </c>
      <c r="V217" s="355">
        <f>V194</f>
        <v>1218.6247817799986</v>
      </c>
      <c r="W217" s="355">
        <f>W194</f>
        <v>1768.329731380001</v>
      </c>
      <c r="X217" s="355">
        <f t="shared" ref="X217" si="98">X194</f>
        <v>2373.7723656200019</v>
      </c>
      <c r="Y217" s="355">
        <f>AE217</f>
        <v>2360.4156858699967</v>
      </c>
      <c r="Z217" s="355"/>
      <c r="AA217" s="355"/>
      <c r="AB217" s="355">
        <f t="shared" ref="AB217:AC217" si="99">AB194</f>
        <v>680.6399568100004</v>
      </c>
      <c r="AC217" s="355">
        <f t="shared" si="99"/>
        <v>1157.6509464400008</v>
      </c>
      <c r="AD217" s="355">
        <f t="shared" ref="AD217:AF217" si="100">AD194</f>
        <v>1762.6603399200001</v>
      </c>
      <c r="AE217" s="355">
        <f t="shared" si="100"/>
        <v>2360.4156858699967</v>
      </c>
      <c r="AF217" s="355">
        <f t="shared" si="100"/>
        <v>735.19329049999942</v>
      </c>
      <c r="AG217" s="355"/>
      <c r="AH217" s="355"/>
      <c r="AI217" s="355"/>
      <c r="AJ217" s="355"/>
      <c r="AK217" s="355">
        <f>AB217</f>
        <v>680.6399568100004</v>
      </c>
      <c r="AL217" s="355">
        <f t="shared" si="97"/>
        <v>477.01098963000038</v>
      </c>
      <c r="AM217" s="355">
        <f t="shared" si="97"/>
        <v>605.00939347999929</v>
      </c>
      <c r="AN217" s="355">
        <f t="shared" si="97"/>
        <v>597.75534594999658</v>
      </c>
      <c r="AO217" s="355">
        <f>AF217</f>
        <v>735.19329049999942</v>
      </c>
      <c r="AP217" s="355"/>
      <c r="AQ217" s="355"/>
      <c r="AR217" s="355"/>
    </row>
    <row r="219" spans="2:44" ht="15" customHeight="1" x14ac:dyDescent="0.25">
      <c r="B219" s="174" t="s">
        <v>153</v>
      </c>
      <c r="C219" s="174"/>
      <c r="D219" s="174"/>
      <c r="E219" s="174"/>
      <c r="F219" s="174"/>
      <c r="G219" s="174"/>
      <c r="H219" s="174"/>
      <c r="I219" s="174"/>
      <c r="J219" s="174"/>
      <c r="K219" s="174"/>
      <c r="L219" s="174"/>
      <c r="M219" s="174"/>
      <c r="N219" s="174"/>
      <c r="O219" s="174"/>
      <c r="P219" s="174"/>
      <c r="Q219" s="174"/>
      <c r="R219" s="174"/>
      <c r="S219" s="174"/>
      <c r="T219" s="228">
        <v>2018</v>
      </c>
      <c r="U219" s="228">
        <v>2019</v>
      </c>
      <c r="V219" s="228">
        <v>2020</v>
      </c>
      <c r="W219" s="228">
        <v>2021</v>
      </c>
      <c r="X219" s="228">
        <v>2022</v>
      </c>
      <c r="Y219" s="231">
        <v>2023</v>
      </c>
      <c r="Z219" s="230">
        <v>2024</v>
      </c>
      <c r="AB219" s="231" t="s">
        <v>291</v>
      </c>
      <c r="AC219" s="231" t="s">
        <v>292</v>
      </c>
      <c r="AD219" s="231" t="s">
        <v>293</v>
      </c>
      <c r="AE219" s="231">
        <v>2023</v>
      </c>
      <c r="AF219" s="232" t="s">
        <v>318</v>
      </c>
      <c r="AG219" s="232" t="s">
        <v>319</v>
      </c>
      <c r="AH219" s="232" t="s">
        <v>320</v>
      </c>
      <c r="AI219" s="232">
        <v>2024</v>
      </c>
      <c r="AK219" s="231" t="s">
        <v>291</v>
      </c>
      <c r="AL219" s="231" t="s">
        <v>296</v>
      </c>
      <c r="AM219" s="231" t="s">
        <v>294</v>
      </c>
      <c r="AN219" s="231" t="s">
        <v>295</v>
      </c>
      <c r="AO219" s="232" t="s">
        <v>318</v>
      </c>
      <c r="AP219" s="232" t="s">
        <v>321</v>
      </c>
      <c r="AQ219" s="232" t="s">
        <v>322</v>
      </c>
      <c r="AR219" s="232" t="s">
        <v>323</v>
      </c>
    </row>
    <row r="220" spans="2:44" ht="15" customHeight="1" x14ac:dyDescent="0.25">
      <c r="B220" s="6" t="s">
        <v>154</v>
      </c>
      <c r="C220" s="6"/>
      <c r="D220" s="6"/>
      <c r="E220" s="6"/>
      <c r="F220" s="6"/>
      <c r="G220" s="6"/>
      <c r="H220" s="6"/>
      <c r="I220" s="6"/>
      <c r="J220" s="6"/>
      <c r="K220" s="6"/>
      <c r="L220" s="6"/>
      <c r="M220" s="6"/>
      <c r="N220" s="6"/>
      <c r="O220" s="6"/>
      <c r="P220" s="6"/>
      <c r="Q220" s="6"/>
      <c r="R220" s="6"/>
      <c r="S220" s="6"/>
      <c r="T220" s="355">
        <v>4695.9835000000003</v>
      </c>
      <c r="U220" s="355">
        <v>4997.1190000000006</v>
      </c>
      <c r="V220" s="355">
        <v>5003.61885968767</v>
      </c>
      <c r="W220" s="355">
        <v>5003.6188596876655</v>
      </c>
      <c r="X220" s="355">
        <f>'Operating Data'!X114</f>
        <v>5241.79774877</v>
      </c>
      <c r="Y220" s="355">
        <f>AE220</f>
        <v>7940.7428943909836</v>
      </c>
      <c r="Z220" s="355"/>
      <c r="AA220" s="355"/>
      <c r="AB220" s="355">
        <f>'Operating Data'!AB114</f>
        <v>6210.398913690984</v>
      </c>
      <c r="AC220" s="355">
        <f>'Operating Data'!AC114</f>
        <v>6210.398913690984</v>
      </c>
      <c r="AD220" s="355">
        <f>'Operating Data'!AD114</f>
        <v>6210.398913690984</v>
      </c>
      <c r="AE220" s="355">
        <f>'Operating Data'!AE114</f>
        <v>7940.7428943909836</v>
      </c>
      <c r="AF220" s="355">
        <f>'Operating Data'!AF114</f>
        <v>7940.7428943909836</v>
      </c>
      <c r="AG220" s="355"/>
      <c r="AH220" s="355"/>
      <c r="AI220" s="355"/>
      <c r="AK220" s="355"/>
      <c r="AL220" s="355"/>
      <c r="AM220" s="355"/>
      <c r="AN220" s="355"/>
      <c r="AO220" s="355"/>
      <c r="AP220" s="355"/>
      <c r="AQ220" s="355"/>
      <c r="AR220" s="355"/>
    </row>
    <row r="221" spans="2:44" ht="15" customHeight="1" x14ac:dyDescent="0.25">
      <c r="B221" s="43" t="s">
        <v>136</v>
      </c>
      <c r="C221" s="43"/>
      <c r="D221" s="43"/>
      <c r="E221" s="43"/>
      <c r="F221" s="43"/>
      <c r="G221" s="43"/>
      <c r="H221" s="43"/>
      <c r="I221" s="43"/>
      <c r="J221" s="43"/>
      <c r="K221" s="43"/>
      <c r="L221" s="43"/>
      <c r="M221" s="43"/>
      <c r="N221" s="43"/>
      <c r="O221" s="43"/>
      <c r="P221" s="43"/>
      <c r="Q221" s="43"/>
      <c r="R221" s="43"/>
      <c r="S221" s="43"/>
      <c r="T221" s="356">
        <v>2449.2275</v>
      </c>
      <c r="U221" s="356">
        <v>2655.78</v>
      </c>
      <c r="V221" s="356">
        <v>2580.5536089653801</v>
      </c>
      <c r="W221" s="356">
        <v>2580.553608965377</v>
      </c>
      <c r="X221" s="356">
        <f>'Operating Data'!X115</f>
        <v>2628.4967487700028</v>
      </c>
      <c r="Y221" s="356">
        <f>AE221</f>
        <v>3787.3336626909845</v>
      </c>
      <c r="Z221" s="356"/>
      <c r="AA221" s="356"/>
      <c r="AB221" s="356">
        <f>'Operating Data'!AB115</f>
        <v>3787.3336626909845</v>
      </c>
      <c r="AC221" s="356">
        <f>'Operating Data'!AC115</f>
        <v>3787.3336626909845</v>
      </c>
      <c r="AD221" s="356">
        <f>'Operating Data'!AD115</f>
        <v>3787.3336626909845</v>
      </c>
      <c r="AE221" s="356">
        <f>'Operating Data'!AE115</f>
        <v>3787.3336626909845</v>
      </c>
      <c r="AF221" s="356">
        <f>'Operating Data'!AF115</f>
        <v>3787.3336626909845</v>
      </c>
      <c r="AG221" s="356"/>
      <c r="AH221" s="356"/>
      <c r="AI221" s="356"/>
      <c r="AK221" s="356"/>
      <c r="AL221" s="356"/>
      <c r="AM221" s="356"/>
      <c r="AN221" s="356"/>
      <c r="AO221" s="356"/>
      <c r="AP221" s="356"/>
      <c r="AQ221" s="356"/>
      <c r="AR221" s="356"/>
    </row>
    <row r="222" spans="2:44" ht="15" customHeight="1" x14ac:dyDescent="0.25">
      <c r="B222" s="43" t="s">
        <v>133</v>
      </c>
      <c r="C222" s="43"/>
      <c r="D222" s="43"/>
      <c r="E222" s="43"/>
      <c r="F222" s="43"/>
      <c r="G222" s="43"/>
      <c r="H222" s="43"/>
      <c r="I222" s="43"/>
      <c r="J222" s="43"/>
      <c r="K222" s="43"/>
      <c r="L222" s="43"/>
      <c r="M222" s="43"/>
      <c r="N222" s="43"/>
      <c r="O222" s="43"/>
      <c r="P222" s="43"/>
      <c r="Q222" s="43"/>
      <c r="R222" s="43"/>
      <c r="S222" s="43"/>
      <c r="T222" s="356">
        <v>2246.7559999999999</v>
      </c>
      <c r="U222" s="356">
        <v>2341.3389999999999</v>
      </c>
      <c r="V222" s="356">
        <v>2423.0652507222899</v>
      </c>
      <c r="W222" s="356">
        <v>2423.0652507222881</v>
      </c>
      <c r="X222" s="356">
        <f>'Operating Data'!X116</f>
        <v>2613.3009999999999</v>
      </c>
      <c r="Y222" s="356">
        <f>AE222</f>
        <v>4153.4092316999995</v>
      </c>
      <c r="Z222" s="356"/>
      <c r="AA222" s="356"/>
      <c r="AB222" s="356">
        <f>'Operating Data'!AB116</f>
        <v>2423.065251</v>
      </c>
      <c r="AC222" s="356">
        <f>'Operating Data'!AC116</f>
        <v>2423.065251</v>
      </c>
      <c r="AD222" s="356">
        <f>'Operating Data'!AD116</f>
        <v>2423.065251</v>
      </c>
      <c r="AE222" s="356">
        <f>'Operating Data'!AE116</f>
        <v>4153.4092316999995</v>
      </c>
      <c r="AF222" s="356">
        <f>'Operating Data'!AF116</f>
        <v>4153.4092316999995</v>
      </c>
      <c r="AG222" s="356"/>
      <c r="AH222" s="356"/>
      <c r="AI222" s="356"/>
      <c r="AK222" s="356"/>
      <c r="AL222" s="356"/>
      <c r="AM222" s="356"/>
      <c r="AN222" s="356"/>
      <c r="AO222" s="356"/>
      <c r="AP222" s="356"/>
      <c r="AQ222" s="356"/>
      <c r="AR222" s="356"/>
    </row>
    <row r="223" spans="2:44" ht="15" customHeight="1" x14ac:dyDescent="0.25">
      <c r="B223" s="41"/>
      <c r="C223" s="41"/>
      <c r="D223" s="41"/>
      <c r="E223" s="41"/>
      <c r="F223" s="41"/>
      <c r="G223" s="41"/>
      <c r="H223" s="41"/>
      <c r="I223" s="41"/>
      <c r="J223" s="41"/>
      <c r="K223" s="41"/>
      <c r="L223" s="41"/>
      <c r="M223" s="41"/>
      <c r="N223" s="41"/>
      <c r="O223" s="41"/>
      <c r="P223" s="41"/>
      <c r="Q223" s="41"/>
      <c r="R223" s="41"/>
      <c r="S223" s="41"/>
      <c r="T223" s="379"/>
      <c r="U223" s="379"/>
      <c r="V223" s="379"/>
      <c r="W223" s="379"/>
      <c r="X223" s="379"/>
      <c r="Y223" s="379"/>
      <c r="Z223" s="379"/>
      <c r="AB223" s="379"/>
      <c r="AC223" s="379"/>
      <c r="AD223" s="379"/>
      <c r="AE223" s="379"/>
      <c r="AF223" s="379"/>
      <c r="AG223" s="379"/>
      <c r="AH223" s="379"/>
      <c r="AI223" s="379"/>
      <c r="AK223" s="379"/>
      <c r="AL223" s="379"/>
      <c r="AM223" s="379"/>
      <c r="AN223" s="379"/>
      <c r="AO223" s="379"/>
      <c r="AP223" s="379"/>
      <c r="AQ223" s="379"/>
      <c r="AR223" s="379"/>
    </row>
    <row r="224" spans="2:44" ht="15" customHeight="1" x14ac:dyDescent="0.25">
      <c r="B224" s="50" t="s">
        <v>126</v>
      </c>
      <c r="C224" s="50"/>
      <c r="D224" s="50"/>
      <c r="E224" s="50"/>
      <c r="F224" s="50"/>
      <c r="G224" s="50"/>
      <c r="H224" s="50"/>
      <c r="I224" s="50"/>
      <c r="J224" s="50"/>
      <c r="K224" s="50"/>
      <c r="L224" s="50"/>
      <c r="M224" s="50"/>
      <c r="N224" s="50"/>
      <c r="O224" s="50"/>
      <c r="P224" s="50"/>
      <c r="Q224" s="50"/>
      <c r="R224" s="50"/>
      <c r="S224" s="50"/>
      <c r="T224" s="379"/>
      <c r="U224" s="379"/>
      <c r="V224" s="379"/>
      <c r="W224" s="379"/>
      <c r="X224" s="379"/>
      <c r="Y224" s="379"/>
      <c r="Z224" s="379"/>
      <c r="AB224" s="379"/>
      <c r="AC224" s="379"/>
      <c r="AD224" s="379"/>
      <c r="AE224" s="379"/>
      <c r="AF224" s="379"/>
      <c r="AG224" s="379"/>
      <c r="AH224" s="379"/>
      <c r="AI224" s="379"/>
      <c r="AK224" s="379"/>
      <c r="AL224" s="379"/>
      <c r="AM224" s="379"/>
      <c r="AN224" s="379"/>
      <c r="AO224" s="379"/>
      <c r="AP224" s="379"/>
      <c r="AQ224" s="379"/>
      <c r="AR224" s="379"/>
    </row>
    <row r="225" spans="2:44" ht="15" customHeight="1" x14ac:dyDescent="0.25">
      <c r="B225" s="18" t="s">
        <v>155</v>
      </c>
      <c r="C225" s="18"/>
      <c r="D225" s="18"/>
      <c r="E225" s="18"/>
      <c r="F225" s="18"/>
      <c r="G225" s="18"/>
      <c r="H225" s="18"/>
      <c r="I225" s="18"/>
      <c r="J225" s="18"/>
      <c r="K225" s="18"/>
      <c r="L225" s="18"/>
      <c r="M225" s="18"/>
      <c r="N225" s="18"/>
      <c r="O225" s="18"/>
      <c r="P225" s="18"/>
      <c r="Q225" s="18"/>
      <c r="R225" s="18"/>
      <c r="S225" s="18"/>
      <c r="T225" s="356">
        <v>92159.978264809994</v>
      </c>
      <c r="U225" s="356">
        <v>93154.950380509996</v>
      </c>
      <c r="V225" s="356">
        <v>93850.060180650005</v>
      </c>
      <c r="W225" s="356">
        <v>94985.699804000003</v>
      </c>
      <c r="X225" s="356">
        <f>'Operating Data'!X126</f>
        <v>96054.708243999994</v>
      </c>
      <c r="Y225" s="356">
        <f>AE225</f>
        <v>96999.357756000012</v>
      </c>
      <c r="Z225" s="356"/>
      <c r="AA225" s="356"/>
      <c r="AB225" s="356">
        <f>'Operating Data'!AB126</f>
        <v>96284.297307999979</v>
      </c>
      <c r="AC225" s="356">
        <f>'Operating Data'!AC126</f>
        <v>96514.418226000009</v>
      </c>
      <c r="AD225" s="356">
        <f>'Operating Data'!AD126</f>
        <v>96777.343970999995</v>
      </c>
      <c r="AE225" s="356">
        <f>'Operating Data'!AE126</f>
        <v>96999.357756000012</v>
      </c>
      <c r="AF225" s="356">
        <f>'Operating Data'!AF126</f>
        <v>97174.842498999991</v>
      </c>
      <c r="AG225" s="356"/>
      <c r="AH225" s="356"/>
      <c r="AI225" s="356"/>
      <c r="AK225" s="356"/>
      <c r="AL225" s="356"/>
      <c r="AM225" s="356"/>
      <c r="AN225" s="356"/>
      <c r="AO225" s="356"/>
      <c r="AP225" s="356"/>
      <c r="AQ225" s="356"/>
      <c r="AR225" s="356"/>
    </row>
    <row r="226" spans="2:44" ht="15" customHeight="1" x14ac:dyDescent="0.25">
      <c r="B226" s="21"/>
      <c r="C226" s="21"/>
      <c r="D226" s="21"/>
      <c r="E226" s="21"/>
      <c r="F226" s="21"/>
      <c r="G226" s="21"/>
      <c r="H226" s="21"/>
      <c r="I226" s="21"/>
      <c r="J226" s="21"/>
      <c r="K226" s="21"/>
      <c r="L226" s="21"/>
      <c r="M226" s="21"/>
      <c r="N226" s="21"/>
      <c r="O226" s="21"/>
      <c r="P226" s="21"/>
      <c r="Q226" s="21"/>
      <c r="R226" s="21"/>
      <c r="S226" s="21"/>
      <c r="T226" s="380"/>
      <c r="U226" s="380"/>
      <c r="V226" s="380"/>
      <c r="W226" s="380"/>
      <c r="X226" s="380"/>
      <c r="Y226" s="380"/>
      <c r="Z226" s="380"/>
      <c r="AB226" s="380"/>
      <c r="AC226" s="380"/>
      <c r="AD226" s="380"/>
      <c r="AE226" s="380"/>
      <c r="AF226" s="380"/>
      <c r="AK226" s="380"/>
      <c r="AL226" s="356"/>
      <c r="AM226" s="356"/>
      <c r="AN226" s="356"/>
      <c r="AO226" s="356"/>
      <c r="AP226" s="356"/>
      <c r="AQ226" s="356"/>
      <c r="AR226" s="356"/>
    </row>
    <row r="227" spans="2:44" ht="15" customHeight="1" x14ac:dyDescent="0.25">
      <c r="B227" s="48" t="s">
        <v>130</v>
      </c>
      <c r="C227" s="48"/>
      <c r="D227" s="48"/>
      <c r="E227" s="48"/>
      <c r="F227" s="48"/>
      <c r="G227" s="48"/>
      <c r="H227" s="48"/>
      <c r="I227" s="48"/>
      <c r="J227" s="48"/>
      <c r="K227" s="48"/>
      <c r="L227" s="48"/>
      <c r="M227" s="48"/>
      <c r="N227" s="48"/>
      <c r="O227" s="48"/>
      <c r="P227" s="48"/>
      <c r="Q227" s="48"/>
      <c r="R227" s="48"/>
      <c r="S227" s="48"/>
      <c r="T227" s="355">
        <v>3451.04</v>
      </c>
      <c r="U227" s="355">
        <v>3524.1149999999998</v>
      </c>
      <c r="V227" s="355">
        <v>3600.7809999999999</v>
      </c>
      <c r="W227" s="355">
        <v>3680.442</v>
      </c>
      <c r="X227" s="355">
        <f>'Operating Data'!X148</f>
        <v>3774.9009999999998</v>
      </c>
      <c r="Y227" s="355">
        <f t="shared" ref="Y227:Y232" si="101">AE227</f>
        <v>3882.7559999999999</v>
      </c>
      <c r="Z227" s="355"/>
      <c r="AA227" s="355"/>
      <c r="AB227" s="355">
        <f>'Operating Data'!AB148</f>
        <v>3810.576</v>
      </c>
      <c r="AC227" s="355">
        <f>'Operating Data'!AC148</f>
        <v>3821.0219999999999</v>
      </c>
      <c r="AD227" s="355">
        <f>'Operating Data'!AD148</f>
        <v>3847.915</v>
      </c>
      <c r="AE227" s="355">
        <f>'Operating Data'!AE148</f>
        <v>3882.7559999999999</v>
      </c>
      <c r="AF227" s="355">
        <f>'Operating Data'!AF148</f>
        <v>3889.0050000000001</v>
      </c>
      <c r="AG227" s="355"/>
      <c r="AH227" s="355"/>
      <c r="AI227" s="355"/>
      <c r="AK227" s="355"/>
      <c r="AL227" s="355"/>
      <c r="AM227" s="355"/>
      <c r="AN227" s="355"/>
      <c r="AO227" s="355"/>
      <c r="AP227" s="355"/>
      <c r="AQ227" s="355"/>
      <c r="AR227" s="355"/>
    </row>
    <row r="228" spans="2:44" ht="15" customHeight="1" x14ac:dyDescent="0.25">
      <c r="B228" s="158" t="s">
        <v>131</v>
      </c>
      <c r="C228" s="158"/>
      <c r="D228" s="158"/>
      <c r="E228" s="158"/>
      <c r="F228" s="158"/>
      <c r="G228" s="158"/>
      <c r="H228" s="158"/>
      <c r="I228" s="158"/>
      <c r="J228" s="158"/>
      <c r="K228" s="158"/>
      <c r="L228" s="158"/>
      <c r="M228" s="158"/>
      <c r="N228" s="158"/>
      <c r="O228" s="158"/>
      <c r="P228" s="158"/>
      <c r="Q228" s="158"/>
      <c r="R228" s="158"/>
      <c r="S228" s="158"/>
      <c r="T228" s="367" t="s">
        <v>17</v>
      </c>
      <c r="U228" s="367">
        <f>IFERROR(IF(OR(U227/T227-1&gt;2,U227/T227-1&lt;-0.95),"-",U227/T227-1),"-")</f>
        <v>2.117477629931841E-2</v>
      </c>
      <c r="V228" s="368">
        <f>IFERROR(IF(OR(V227/U227-1&gt;2,V227/U227-1&lt;-0.95),"-",V227/U227-1),"-")</f>
        <v>2.1754681671852349E-2</v>
      </c>
      <c r="W228" s="369">
        <f>IFERROR(IF(OR(W227/V227-1&gt;2,W227/V227-1&lt;-0.95),"-",W227/V227-1),"-")</f>
        <v>2.2123256038065087E-2</v>
      </c>
      <c r="X228" s="369" t="str">
        <f>IFERROR(IF(OR(X227/Q227-1&gt;2,X227/Q227-1&lt;-0.95),"-",X227/Q227-1),"-")</f>
        <v>-</v>
      </c>
      <c r="Y228" s="369" t="str">
        <f t="shared" si="101"/>
        <v>-</v>
      </c>
      <c r="Z228" s="367"/>
      <c r="AB228" s="369" t="str">
        <f>IFERROR(IF(OR(AB227/#REF!-1&gt;2,AB227/#REF!-1&lt;-0.95),"-",AB227/#REF!-1),"-")</f>
        <v>-</v>
      </c>
      <c r="AC228" s="369" t="str">
        <f>IFERROR(IF(OR(AC227/#REF!-1&gt;2,AC227/#REF!-1&lt;-0.95),"-",AC227/#REF!-1),"-")</f>
        <v>-</v>
      </c>
      <c r="AD228" s="369" t="str">
        <f>IFERROR(IF(OR(AD227/#REF!-1&gt;2,AD227/#REF!-1&lt;-0.95),"-",AD227/#REF!-1),"-")</f>
        <v>-</v>
      </c>
      <c r="AE228" s="369" t="str">
        <f>IFERROR(IF(OR(AE227/#REF!-1&gt;2,AE227/#REF!-1&lt;-0.95),"-",AE227/#REF!-1),"-")</f>
        <v>-</v>
      </c>
      <c r="AF228" s="369" t="str">
        <f>IFERROR(IF(OR(AF227/#REF!-1&gt;2,AF227/#REF!-1&lt;-0.95),"-",AF227/#REF!-1),"-")</f>
        <v>-</v>
      </c>
      <c r="AG228" s="369"/>
      <c r="AH228" s="369"/>
      <c r="AI228" s="369"/>
      <c r="AK228" s="367"/>
      <c r="AL228" s="367"/>
      <c r="AM228" s="367"/>
      <c r="AN228" s="367"/>
      <c r="AO228" s="367"/>
      <c r="AP228" s="367"/>
      <c r="AQ228" s="367"/>
      <c r="AR228" s="367"/>
    </row>
    <row r="229" spans="2:44" ht="15" customHeight="1" x14ac:dyDescent="0.25">
      <c r="B229" s="41" t="s">
        <v>133</v>
      </c>
      <c r="C229" s="41"/>
      <c r="D229" s="41"/>
      <c r="E229" s="41"/>
      <c r="F229" s="41"/>
      <c r="G229" s="41"/>
      <c r="H229" s="41"/>
      <c r="I229" s="41"/>
      <c r="J229" s="41"/>
      <c r="K229" s="41"/>
      <c r="L229" s="41"/>
      <c r="M229" s="41"/>
      <c r="N229" s="41"/>
      <c r="O229" s="41"/>
      <c r="P229" s="41"/>
      <c r="Q229" s="41"/>
      <c r="R229" s="41"/>
      <c r="S229" s="41"/>
      <c r="T229" s="356">
        <v>1886.693</v>
      </c>
      <c r="U229" s="356">
        <v>1936.0989999999999</v>
      </c>
      <c r="V229" s="356">
        <v>1980.4480000000001</v>
      </c>
      <c r="W229" s="356">
        <v>2023.818</v>
      </c>
      <c r="X229" s="356">
        <f>'Operating Data'!X149</f>
        <v>2079.663</v>
      </c>
      <c r="Y229" s="356">
        <f t="shared" si="101"/>
        <v>2154.7860000000001</v>
      </c>
      <c r="Z229" s="356"/>
      <c r="AA229" s="356"/>
      <c r="AB229" s="356">
        <f>'Operating Data'!AB149</f>
        <v>2100.471</v>
      </c>
      <c r="AC229" s="356">
        <f>'Operating Data'!AC149</f>
        <v>2109.1849999999999</v>
      </c>
      <c r="AD229" s="356">
        <f>'Operating Data'!AD149</f>
        <v>2129.0929999999998</v>
      </c>
      <c r="AE229" s="356">
        <f>'Operating Data'!AE149</f>
        <v>2154.7860000000001</v>
      </c>
      <c r="AF229" s="356">
        <f>'Operating Data'!AF149</f>
        <v>2149.8620000000001</v>
      </c>
      <c r="AG229" s="356"/>
      <c r="AH229" s="356"/>
      <c r="AI229" s="356"/>
      <c r="AK229" s="356"/>
      <c r="AL229" s="356"/>
      <c r="AM229" s="356"/>
      <c r="AN229" s="356"/>
      <c r="AO229" s="356"/>
      <c r="AP229" s="356"/>
      <c r="AQ229" s="356"/>
      <c r="AR229" s="356"/>
    </row>
    <row r="230" spans="2:44" ht="15" customHeight="1" x14ac:dyDescent="0.25">
      <c r="B230" s="158" t="s">
        <v>131</v>
      </c>
      <c r="C230" s="158"/>
      <c r="D230" s="158"/>
      <c r="E230" s="158"/>
      <c r="F230" s="158"/>
      <c r="G230" s="158"/>
      <c r="H230" s="158"/>
      <c r="I230" s="158"/>
      <c r="J230" s="158"/>
      <c r="K230" s="158"/>
      <c r="L230" s="158"/>
      <c r="M230" s="158"/>
      <c r="N230" s="158"/>
      <c r="O230" s="158"/>
      <c r="P230" s="158"/>
      <c r="Q230" s="158"/>
      <c r="R230" s="158"/>
      <c r="S230" s="158"/>
      <c r="T230" s="367" t="s">
        <v>17</v>
      </c>
      <c r="U230" s="367">
        <f>IFERROR(IF(OR(U229/T229-1&gt;2,U229/T229-1&lt;-0.95),"-",U229/T229-1),"-")</f>
        <v>2.618656029359312E-2</v>
      </c>
      <c r="V230" s="368">
        <f>IFERROR(IF(OR(V229/U229-1&gt;2,V229/U229-1&lt;-0.95),"-",V229/U229-1),"-")</f>
        <v>2.290636997384965E-2</v>
      </c>
      <c r="W230" s="369">
        <f>IFERROR(IF(OR(W229/V229-1&gt;2,W229/V229-1&lt;-0.95),"-",W229/V229-1),"-")</f>
        <v>2.1899085459451628E-2</v>
      </c>
      <c r="X230" s="369" t="str">
        <f>IFERROR(IF(OR(X229/Q229-1&gt;2,X229/Q229-1&lt;-0.95),"-",X229/Q229-1),"-")</f>
        <v>-</v>
      </c>
      <c r="Y230" s="369" t="str">
        <f t="shared" si="101"/>
        <v>-</v>
      </c>
      <c r="Z230" s="367"/>
      <c r="AB230" s="369" t="str">
        <f>IFERROR(IF(OR(AB229/#REF!-1&gt;2,AB229/#REF!-1&lt;-0.95),"-",AB229/#REF!-1),"-")</f>
        <v>-</v>
      </c>
      <c r="AC230" s="369" t="str">
        <f>IFERROR(IF(OR(AC229/#REF!-1&gt;2,AC229/#REF!-1&lt;-0.95),"-",AC229/#REF!-1),"-")</f>
        <v>-</v>
      </c>
      <c r="AD230" s="369" t="str">
        <f>IFERROR(IF(OR(AD229/#REF!-1&gt;2,AD229/#REF!-1&lt;-0.95),"-",AD229/#REF!-1),"-")</f>
        <v>-</v>
      </c>
      <c r="AE230" s="369" t="str">
        <f>IFERROR(IF(OR(AE229/#REF!-1&gt;2,AE229/#REF!-1&lt;-0.95),"-",AE229/#REF!-1),"-")</f>
        <v>-</v>
      </c>
      <c r="AF230" s="369" t="str">
        <f>IFERROR(IF(OR(AF229/#REF!-1&gt;2,AF229/#REF!-1&lt;-0.95),"-",AF229/#REF!-1),"-")</f>
        <v>-</v>
      </c>
      <c r="AG230" s="369"/>
      <c r="AH230" s="369"/>
      <c r="AI230" s="369"/>
      <c r="AK230" s="367"/>
      <c r="AL230" s="367"/>
      <c r="AM230" s="367"/>
      <c r="AN230" s="367"/>
      <c r="AO230" s="367"/>
      <c r="AP230" s="367"/>
      <c r="AQ230" s="367"/>
      <c r="AR230" s="367"/>
    </row>
    <row r="231" spans="2:44" ht="15" customHeight="1" x14ac:dyDescent="0.25">
      <c r="B231" s="41" t="s">
        <v>136</v>
      </c>
      <c r="C231" s="41"/>
      <c r="D231" s="41"/>
      <c r="E231" s="41"/>
      <c r="F231" s="41"/>
      <c r="G231" s="41"/>
      <c r="H231" s="41"/>
      <c r="I231" s="41"/>
      <c r="J231" s="41"/>
      <c r="K231" s="41"/>
      <c r="L231" s="41"/>
      <c r="M231" s="41"/>
      <c r="N231" s="41"/>
      <c r="O231" s="41"/>
      <c r="P231" s="41"/>
      <c r="Q231" s="41"/>
      <c r="R231" s="41"/>
      <c r="S231" s="41"/>
      <c r="T231" s="356">
        <v>1564.347</v>
      </c>
      <c r="U231" s="356">
        <v>1588.0160000000001</v>
      </c>
      <c r="V231" s="356">
        <v>1620.3330000000001</v>
      </c>
      <c r="W231" s="356">
        <v>1656.624</v>
      </c>
      <c r="X231" s="356">
        <f>'Operating Data'!X150</f>
        <v>1695.2380000000001</v>
      </c>
      <c r="Y231" s="356">
        <f t="shared" si="101"/>
        <v>1727.97</v>
      </c>
      <c r="Z231" s="356"/>
      <c r="AA231" s="356"/>
      <c r="AB231" s="356">
        <f>'Operating Data'!AB150</f>
        <v>1710.105</v>
      </c>
      <c r="AC231" s="356">
        <f>'Operating Data'!AC150</f>
        <v>1711.837</v>
      </c>
      <c r="AD231" s="356">
        <f>'Operating Data'!AD150</f>
        <v>1718.8219999999999</v>
      </c>
      <c r="AE231" s="356">
        <f>'Operating Data'!AE150</f>
        <v>1727.97</v>
      </c>
      <c r="AF231" s="356">
        <f>'Operating Data'!AF150</f>
        <v>1739.143</v>
      </c>
      <c r="AG231" s="356"/>
      <c r="AH231" s="356"/>
      <c r="AI231" s="356"/>
      <c r="AK231" s="356"/>
      <c r="AL231" s="356"/>
      <c r="AM231" s="356"/>
      <c r="AN231" s="356"/>
      <c r="AO231" s="356"/>
      <c r="AP231" s="356"/>
      <c r="AQ231" s="356"/>
      <c r="AR231" s="356"/>
    </row>
    <row r="232" spans="2:44" ht="15" customHeight="1" x14ac:dyDescent="0.25">
      <c r="B232" s="158" t="s">
        <v>131</v>
      </c>
      <c r="C232" s="158"/>
      <c r="D232" s="158"/>
      <c r="E232" s="158"/>
      <c r="F232" s="158"/>
      <c r="G232" s="158"/>
      <c r="H232" s="158"/>
      <c r="I232" s="158"/>
      <c r="J232" s="158"/>
      <c r="K232" s="158"/>
      <c r="L232" s="158"/>
      <c r="M232" s="158"/>
      <c r="N232" s="158"/>
      <c r="O232" s="158"/>
      <c r="P232" s="158"/>
      <c r="Q232" s="158"/>
      <c r="R232" s="158"/>
      <c r="S232" s="158"/>
      <c r="T232" s="367" t="s">
        <v>17</v>
      </c>
      <c r="U232" s="367">
        <f>IFERROR(IF(OR(U231/T231-1&gt;2,U231/T231-1&lt;-0.95),"-",U231/T231-1),"-")</f>
        <v>1.5130274804758814E-2</v>
      </c>
      <c r="V232" s="368">
        <f>IFERROR(IF(OR(V231/U231-1&gt;2,V231/U231-1&lt;-0.95),"-",V231/U231-1),"-")</f>
        <v>2.0350550624175012E-2</v>
      </c>
      <c r="W232" s="369">
        <f>IFERROR(IF(OR(W231/V231-1&gt;2,W231/V231-1&lt;-0.95),"-",W231/V231-1),"-")</f>
        <v>2.239724797310183E-2</v>
      </c>
      <c r="X232" s="369" t="str">
        <f>IFERROR(IF(OR(X231/Q231-1&gt;2,X231/Q231-1&lt;-0.95),"-",X231/Q231-1),"-")</f>
        <v>-</v>
      </c>
      <c r="Y232" s="369" t="str">
        <f t="shared" si="101"/>
        <v>-</v>
      </c>
      <c r="Z232" s="367"/>
      <c r="AB232" s="369" t="str">
        <f>IFERROR(IF(OR(AB231/#REF!-1&gt;2,AB231/#REF!-1&lt;-0.95),"-",AB231/#REF!-1),"-")</f>
        <v>-</v>
      </c>
      <c r="AC232" s="369" t="str">
        <f>IFERROR(IF(OR(AC231/#REF!-1&gt;2,AC231/#REF!-1&lt;-0.95),"-",AC231/#REF!-1),"-")</f>
        <v>-</v>
      </c>
      <c r="AD232" s="369" t="str">
        <f>IFERROR(IF(OR(AD231/#REF!-1&gt;2,AD231/#REF!-1&lt;-0.95),"-",AD231/#REF!-1),"-")</f>
        <v>-</v>
      </c>
      <c r="AE232" s="369" t="str">
        <f>IFERROR(IF(OR(AE231/#REF!-1&gt;2,AE231/#REF!-1&lt;-0.95),"-",AE231/#REF!-1),"-")</f>
        <v>-</v>
      </c>
      <c r="AF232" s="369" t="str">
        <f>IFERROR(IF(OR(AF231/#REF!-1&gt;2,AF231/#REF!-1&lt;-0.95),"-",AF231/#REF!-1),"-")</f>
        <v>-</v>
      </c>
      <c r="AG232" s="369"/>
      <c r="AH232" s="369"/>
      <c r="AI232" s="369"/>
      <c r="AK232" s="367"/>
      <c r="AL232" s="367"/>
      <c r="AM232" s="367"/>
      <c r="AN232" s="367"/>
      <c r="AO232" s="367"/>
      <c r="AP232" s="367"/>
      <c r="AQ232" s="367"/>
      <c r="AR232" s="367"/>
    </row>
    <row r="233" spans="2:44" ht="15" customHeight="1" x14ac:dyDescent="0.25">
      <c r="B233" s="21"/>
      <c r="C233" s="21"/>
      <c r="D233" s="21"/>
      <c r="E233" s="21"/>
      <c r="F233" s="21"/>
      <c r="G233" s="21"/>
      <c r="H233" s="21"/>
      <c r="I233" s="21"/>
      <c r="J233" s="21"/>
      <c r="K233" s="21"/>
      <c r="L233" s="21"/>
      <c r="M233" s="21"/>
      <c r="N233" s="21"/>
      <c r="O233" s="21"/>
      <c r="P233" s="21"/>
      <c r="Q233" s="21"/>
      <c r="R233" s="21"/>
      <c r="S233" s="21"/>
      <c r="T233" s="380"/>
      <c r="U233" s="380"/>
      <c r="V233" s="380"/>
      <c r="W233" s="380"/>
      <c r="X233" s="380"/>
      <c r="Y233" s="380"/>
      <c r="Z233" s="380"/>
      <c r="AB233" s="380"/>
      <c r="AC233" s="380"/>
      <c r="AD233" s="380"/>
      <c r="AE233" s="380"/>
      <c r="AF233" s="380"/>
      <c r="AK233" s="380"/>
      <c r="AL233" s="356"/>
      <c r="AM233" s="356"/>
      <c r="AN233" s="356"/>
      <c r="AO233" s="356"/>
      <c r="AP233" s="356"/>
      <c r="AQ233" s="356"/>
      <c r="AR233" s="356"/>
    </row>
    <row r="234" spans="2:44" ht="15" customHeight="1" x14ac:dyDescent="0.25">
      <c r="B234" s="34" t="s">
        <v>249</v>
      </c>
      <c r="C234" s="34"/>
      <c r="D234" s="34"/>
      <c r="E234" s="34"/>
      <c r="F234" s="34"/>
      <c r="G234" s="34"/>
      <c r="H234" s="34"/>
      <c r="I234" s="34"/>
      <c r="J234" s="34"/>
      <c r="K234" s="34"/>
      <c r="L234" s="34"/>
      <c r="M234" s="34"/>
      <c r="N234" s="34"/>
      <c r="O234" s="34"/>
      <c r="P234" s="34"/>
      <c r="Q234" s="34"/>
      <c r="R234" s="34"/>
      <c r="S234" s="34"/>
      <c r="T234" s="380"/>
      <c r="U234" s="380"/>
      <c r="V234" s="380"/>
      <c r="W234" s="380"/>
      <c r="X234" s="380"/>
      <c r="Y234" s="380"/>
      <c r="Z234" s="380"/>
      <c r="AB234" s="380"/>
      <c r="AC234" s="380"/>
      <c r="AD234" s="380"/>
      <c r="AE234" s="380"/>
      <c r="AF234" s="380"/>
      <c r="AK234" s="380"/>
      <c r="AL234" s="356"/>
      <c r="AM234" s="356"/>
      <c r="AN234" s="356"/>
      <c r="AO234" s="356"/>
      <c r="AP234" s="356"/>
      <c r="AQ234" s="356"/>
      <c r="AR234" s="356"/>
    </row>
    <row r="235" spans="2:44" ht="15" customHeight="1" x14ac:dyDescent="0.25">
      <c r="B235" s="37" t="s">
        <v>133</v>
      </c>
      <c r="C235" s="37"/>
      <c r="D235" s="37"/>
      <c r="E235" s="37"/>
      <c r="F235" s="37"/>
      <c r="G235" s="37"/>
      <c r="H235" s="37"/>
      <c r="I235" s="37"/>
      <c r="J235" s="37"/>
      <c r="K235" s="37"/>
      <c r="L235" s="37"/>
      <c r="M235" s="37"/>
      <c r="N235" s="37"/>
      <c r="O235" s="37"/>
      <c r="P235" s="37"/>
      <c r="Q235" s="37"/>
      <c r="R235" s="37"/>
      <c r="S235" s="37"/>
      <c r="T235" s="381">
        <v>8.4331929999999999E-2</v>
      </c>
      <c r="U235" s="381">
        <v>8.1080310000000003E-2</v>
      </c>
      <c r="V235" s="381">
        <v>8.5695999999999994E-2</v>
      </c>
      <c r="W235" s="381">
        <v>8.2916281830423294E-2</v>
      </c>
      <c r="X235" s="381">
        <f>'Operating Data'!X159</f>
        <v>7.9066954888097479E-2</v>
      </c>
      <c r="Y235" s="381">
        <f t="shared" ref="Y235:Y240" si="102">AE235</f>
        <v>7.1972836473468998E-2</v>
      </c>
      <c r="Z235" s="381"/>
      <c r="AA235" s="381"/>
      <c r="AB235" s="381">
        <f>'Operating Data'!AB159</f>
        <v>8.6765453391720676E-2</v>
      </c>
      <c r="AC235" s="381">
        <f>'Operating Data'!AC159</f>
        <v>7.764654875376964E-2</v>
      </c>
      <c r="AD235" s="381">
        <f>'Operating Data'!AD159</f>
        <v>7.6193742269068984E-2</v>
      </c>
      <c r="AE235" s="381">
        <f>'Operating Data'!AE159</f>
        <v>7.1972836473468998E-2</v>
      </c>
      <c r="AF235" s="381">
        <f>'Operating Data'!AF159</f>
        <v>7.1942547912007868E-2</v>
      </c>
      <c r="AG235" s="381"/>
      <c r="AH235" s="381"/>
      <c r="AI235" s="381"/>
      <c r="AK235" s="381"/>
      <c r="AL235" s="356"/>
      <c r="AM235" s="356"/>
      <c r="AN235" s="356"/>
      <c r="AO235" s="356"/>
      <c r="AP235" s="356"/>
      <c r="AQ235" s="356"/>
      <c r="AR235" s="356"/>
    </row>
    <row r="236" spans="2:44" ht="15" customHeight="1" x14ac:dyDescent="0.25">
      <c r="B236" s="38" t="s">
        <v>134</v>
      </c>
      <c r="C236" s="38"/>
      <c r="D236" s="38"/>
      <c r="E236" s="38"/>
      <c r="F236" s="38"/>
      <c r="G236" s="38"/>
      <c r="H236" s="38"/>
      <c r="I236" s="38"/>
      <c r="J236" s="38"/>
      <c r="K236" s="38"/>
      <c r="L236" s="38"/>
      <c r="M236" s="38"/>
      <c r="N236" s="38"/>
      <c r="O236" s="38"/>
      <c r="P236" s="38"/>
      <c r="Q236" s="38"/>
      <c r="R236" s="38"/>
      <c r="S236" s="38"/>
      <c r="T236" s="381">
        <v>5.5890500000000003E-2</v>
      </c>
      <c r="U236" s="381">
        <v>5.642875E-2</v>
      </c>
      <c r="V236" s="381">
        <v>5.5381E-2</v>
      </c>
      <c r="W236" s="381" vm="7">
        <v>5.755060025291861E-2</v>
      </c>
      <c r="X236" s="381" vm="53">
        <f>'Operating Data'!X160</f>
        <v>3.5718473739906303E-2</v>
      </c>
      <c r="Y236" s="381" vm="281">
        <f t="shared" si="102"/>
        <v>3.6320997690456686E-2</v>
      </c>
      <c r="Z236" s="381"/>
      <c r="AA236" s="381"/>
      <c r="AB236" s="381" vm="277">
        <f>'Operating Data'!AB160</f>
        <v>3.8068284273372083E-2</v>
      </c>
      <c r="AC236" s="381" vm="447">
        <f>'Operating Data'!AC160</f>
        <v>3.6683701072617834E-2</v>
      </c>
      <c r="AD236" s="381" vm="288">
        <f>'Operating Data'!AD160</f>
        <v>3.6646655608778597E-2</v>
      </c>
      <c r="AE236" s="381" vm="281">
        <f>'Operating Data'!AE160</f>
        <v>3.6320997690456686E-2</v>
      </c>
      <c r="AF236" s="381" vm="482">
        <f>'Operating Data'!AF160</f>
        <v>3.7992706528367295E-2</v>
      </c>
      <c r="AG236" s="381"/>
      <c r="AH236" s="381"/>
      <c r="AI236" s="381"/>
      <c r="AK236" s="381"/>
      <c r="AL236" s="356"/>
      <c r="AM236" s="356"/>
      <c r="AN236" s="356"/>
      <c r="AO236" s="356"/>
      <c r="AP236" s="356"/>
      <c r="AQ236" s="356"/>
      <c r="AR236" s="356"/>
    </row>
    <row r="237" spans="2:44" ht="15" customHeight="1" x14ac:dyDescent="0.25">
      <c r="B237" s="38" t="s">
        <v>135</v>
      </c>
      <c r="C237" s="38"/>
      <c r="D237" s="38"/>
      <c r="E237" s="38"/>
      <c r="F237" s="38"/>
      <c r="G237" s="38"/>
      <c r="H237" s="38"/>
      <c r="I237" s="38"/>
      <c r="J237" s="38"/>
      <c r="K237" s="38"/>
      <c r="L237" s="38"/>
      <c r="M237" s="38"/>
      <c r="N237" s="38"/>
      <c r="O237" s="38"/>
      <c r="P237" s="38"/>
      <c r="Q237" s="38"/>
      <c r="R237" s="38"/>
      <c r="S237" s="38"/>
      <c r="T237" s="381">
        <v>2.844143E-2</v>
      </c>
      <c r="U237" s="381">
        <v>2.4651559999999999E-2</v>
      </c>
      <c r="V237" s="381">
        <v>3.0315000000000002E-2</v>
      </c>
      <c r="W237" s="381" vm="9">
        <v>2.5365681577504677E-2</v>
      </c>
      <c r="X237" s="381" vm="54">
        <f>'Operating Data'!X161</f>
        <v>4.3348481148191176E-2</v>
      </c>
      <c r="Y237" s="381" vm="282">
        <f t="shared" si="102"/>
        <v>3.5651838783012313E-2</v>
      </c>
      <c r="Z237" s="381"/>
      <c r="AA237" s="381"/>
      <c r="AB237" s="381" vm="61">
        <f>'Operating Data'!AB161</f>
        <v>4.8697169118348586E-2</v>
      </c>
      <c r="AC237" s="381" vm="439">
        <f>'Operating Data'!AC161</f>
        <v>4.0962847681151805E-2</v>
      </c>
      <c r="AD237" s="381" vm="214">
        <f>'Operating Data'!AD161</f>
        <v>3.9547086660290387E-2</v>
      </c>
      <c r="AE237" s="381" vm="282">
        <f>'Operating Data'!AE161</f>
        <v>3.5651838783012313E-2</v>
      </c>
      <c r="AF237" s="381" vm="483">
        <f>'Operating Data'!AF161</f>
        <v>3.3949841383640572E-2</v>
      </c>
      <c r="AG237" s="381"/>
      <c r="AH237" s="381"/>
      <c r="AI237" s="381"/>
      <c r="AK237" s="381"/>
      <c r="AL237" s="356"/>
      <c r="AM237" s="356"/>
      <c r="AN237" s="356"/>
      <c r="AO237" s="356"/>
      <c r="AP237" s="356"/>
      <c r="AQ237" s="356"/>
      <c r="AR237" s="356"/>
    </row>
    <row r="238" spans="2:44" ht="15" customHeight="1" x14ac:dyDescent="0.25">
      <c r="B238" s="37" t="s">
        <v>136</v>
      </c>
      <c r="C238" s="37"/>
      <c r="D238" s="37"/>
      <c r="E238" s="37"/>
      <c r="F238" s="37"/>
      <c r="G238" s="37"/>
      <c r="H238" s="37"/>
      <c r="I238" s="37"/>
      <c r="J238" s="37"/>
      <c r="K238" s="37"/>
      <c r="L238" s="37"/>
      <c r="M238" s="37"/>
      <c r="N238" s="37"/>
      <c r="O238" s="37"/>
      <c r="P238" s="37"/>
      <c r="Q238" s="37"/>
      <c r="R238" s="37"/>
      <c r="S238" s="37"/>
      <c r="T238" s="381">
        <v>0.11935841999999999</v>
      </c>
      <c r="U238" s="381">
        <v>0.1245378</v>
      </c>
      <c r="V238" s="381">
        <v>0.13392199999999999</v>
      </c>
      <c r="W238" s="381">
        <v>0.12411351310377056</v>
      </c>
      <c r="X238" s="381">
        <f>'Operating Data'!X162</f>
        <v>0.11946419349546938</v>
      </c>
      <c r="Y238" s="381">
        <f t="shared" si="102"/>
        <v>0.11834329642742686</v>
      </c>
      <c r="Z238" s="381"/>
      <c r="AA238" s="381"/>
      <c r="AB238" s="381">
        <f>'Operating Data'!AB162</f>
        <v>0.13888172079899608</v>
      </c>
      <c r="AC238" s="381">
        <f>'Operating Data'!AC162</f>
        <v>0.11538061942578012</v>
      </c>
      <c r="AD238" s="381">
        <f>'Operating Data'!AD162</f>
        <v>0.11685885144299546</v>
      </c>
      <c r="AE238" s="381">
        <f>'Operating Data'!AE162</f>
        <v>0.11834329642742686</v>
      </c>
      <c r="AF238" s="381">
        <f>'Operating Data'!AF162</f>
        <v>0.12130065466797545</v>
      </c>
      <c r="AG238" s="381"/>
      <c r="AH238" s="381"/>
      <c r="AI238" s="381"/>
      <c r="AK238" s="381"/>
      <c r="AL238" s="356"/>
      <c r="AM238" s="356"/>
      <c r="AN238" s="356"/>
      <c r="AO238" s="356"/>
      <c r="AP238" s="356"/>
      <c r="AQ238" s="356"/>
      <c r="AR238" s="356"/>
    </row>
    <row r="239" spans="2:44" ht="15" customHeight="1" x14ac:dyDescent="0.25">
      <c r="B239" s="45" t="s">
        <v>134</v>
      </c>
      <c r="C239" s="45"/>
      <c r="D239" s="45"/>
      <c r="E239" s="45"/>
      <c r="F239" s="45"/>
      <c r="G239" s="45"/>
      <c r="H239" s="45"/>
      <c r="I239" s="45"/>
      <c r="J239" s="45"/>
      <c r="K239" s="45"/>
      <c r="L239" s="45"/>
      <c r="M239" s="45"/>
      <c r="N239" s="45"/>
      <c r="O239" s="45"/>
      <c r="P239" s="45"/>
      <c r="Q239" s="45"/>
      <c r="R239" s="45"/>
      <c r="S239" s="45"/>
      <c r="T239" s="381">
        <v>7.5310240000000001E-2</v>
      </c>
      <c r="U239" s="381">
        <v>7.858801E-2</v>
      </c>
      <c r="V239" s="381">
        <v>8.2380999999999996E-2</v>
      </c>
      <c r="W239" s="381" vm="140">
        <v>7.758802362040923E-2</v>
      </c>
      <c r="X239" s="381" vm="52">
        <f>'Operating Data'!X163</f>
        <v>6.9880999180956957E-2</v>
      </c>
      <c r="Y239" s="381" vm="283">
        <f t="shared" si="102"/>
        <v>6.6678722221169828E-2</v>
      </c>
      <c r="Z239" s="381"/>
      <c r="AA239" s="381"/>
      <c r="AB239" s="381" vm="59">
        <f>'Operating Data'!AB163</f>
        <v>7.30025276024793E-2</v>
      </c>
      <c r="AC239" s="381" vm="448">
        <f>'Operating Data'!AC163</f>
        <v>6.915133201612321E-2</v>
      </c>
      <c r="AD239" s="381" vm="276">
        <f>'Operating Data'!AD163</f>
        <v>6.768237600661639E-2</v>
      </c>
      <c r="AE239" s="381" vm="283">
        <f>'Operating Data'!AE163</f>
        <v>6.6678722221169828E-2</v>
      </c>
      <c r="AF239" s="381" vm="484">
        <f>'Operating Data'!AF163</f>
        <v>7.243625749346233E-2</v>
      </c>
      <c r="AG239" s="381"/>
      <c r="AH239" s="381"/>
      <c r="AI239" s="381"/>
      <c r="AK239" s="381"/>
      <c r="AL239" s="356"/>
      <c r="AM239" s="356"/>
      <c r="AN239" s="356"/>
      <c r="AO239" s="356"/>
      <c r="AP239" s="356"/>
      <c r="AQ239" s="356"/>
      <c r="AR239" s="356"/>
    </row>
    <row r="240" spans="2:44" ht="15" customHeight="1" x14ac:dyDescent="0.25">
      <c r="B240" s="45" t="s">
        <v>135</v>
      </c>
      <c r="C240" s="45"/>
      <c r="D240" s="45"/>
      <c r="E240" s="45"/>
      <c r="F240" s="45"/>
      <c r="G240" s="45"/>
      <c r="H240" s="45"/>
      <c r="I240" s="45"/>
      <c r="J240" s="45"/>
      <c r="K240" s="45"/>
      <c r="L240" s="45"/>
      <c r="M240" s="45"/>
      <c r="N240" s="45"/>
      <c r="O240" s="45"/>
      <c r="P240" s="45"/>
      <c r="Q240" s="45"/>
      <c r="R240" s="45"/>
      <c r="S240" s="45"/>
      <c r="T240" s="381">
        <v>4.4048179999999999E-2</v>
      </c>
      <c r="U240" s="381">
        <v>4.5949789999999997E-2</v>
      </c>
      <c r="V240" s="381">
        <v>5.1540999999999997E-2</v>
      </c>
      <c r="W240" s="381" vm="9">
        <v>4.6525489483361319E-2</v>
      </c>
      <c r="X240" s="381" vm="330">
        <f>'Operating Data'!X164</f>
        <v>4.9583194314512427E-2</v>
      </c>
      <c r="Y240" s="381" vm="284">
        <f t="shared" si="102"/>
        <v>5.1664574206257037E-2</v>
      </c>
      <c r="Z240" s="381"/>
      <c r="AA240" s="381"/>
      <c r="AB240" s="381" vm="278">
        <f>'Operating Data'!AB164</f>
        <v>6.5879193196516764E-2</v>
      </c>
      <c r="AC240" s="381" vm="259">
        <f>'Operating Data'!AC164</f>
        <v>4.6229287409656913E-2</v>
      </c>
      <c r="AD240" s="381" vm="289">
        <f>'Operating Data'!AD164</f>
        <v>4.9176475436379062E-2</v>
      </c>
      <c r="AE240" s="381" vm="284">
        <f>'Operating Data'!AE164</f>
        <v>5.1664574206257037E-2</v>
      </c>
      <c r="AF240" s="381" vm="485">
        <f>'Operating Data'!AF164</f>
        <v>4.8864397174513116E-2</v>
      </c>
      <c r="AG240" s="381"/>
      <c r="AH240" s="381"/>
      <c r="AI240" s="381"/>
      <c r="AK240" s="381"/>
      <c r="AL240" s="356"/>
      <c r="AM240" s="356"/>
      <c r="AN240" s="356"/>
      <c r="AO240" s="356"/>
      <c r="AP240" s="356"/>
      <c r="AQ240" s="356"/>
      <c r="AR240" s="356"/>
    </row>
    <row r="241" spans="2:44" ht="15" customHeight="1" x14ac:dyDescent="0.25">
      <c r="B241" s="48"/>
      <c r="C241" s="48"/>
      <c r="D241" s="48"/>
      <c r="E241" s="48"/>
      <c r="F241" s="48"/>
      <c r="G241" s="48"/>
      <c r="H241" s="48"/>
      <c r="I241" s="48"/>
      <c r="J241" s="48"/>
      <c r="K241" s="48"/>
      <c r="L241" s="48"/>
      <c r="M241" s="48"/>
      <c r="N241" s="48"/>
      <c r="O241" s="48"/>
      <c r="P241" s="48"/>
      <c r="Q241" s="48"/>
      <c r="R241" s="48"/>
      <c r="S241" s="48"/>
    </row>
    <row r="242" spans="2:44" ht="15" customHeight="1" x14ac:dyDescent="0.25">
      <c r="B242" s="48" t="s">
        <v>139</v>
      </c>
      <c r="C242" s="48"/>
      <c r="D242" s="48"/>
      <c r="E242" s="48"/>
      <c r="F242" s="48"/>
      <c r="G242" s="48"/>
      <c r="H242" s="48"/>
      <c r="I242" s="48"/>
      <c r="J242" s="48"/>
      <c r="K242" s="48"/>
      <c r="L242" s="48"/>
      <c r="M242" s="48"/>
      <c r="N242" s="48"/>
      <c r="O242" s="48"/>
      <c r="P242" s="48"/>
      <c r="Q242" s="48"/>
      <c r="R242" s="48"/>
      <c r="S242" s="48"/>
      <c r="T242" s="355">
        <v>25006.845590034191</v>
      </c>
      <c r="U242" s="355">
        <v>25591.223426515528</v>
      </c>
      <c r="V242" s="355">
        <v>24421</v>
      </c>
      <c r="W242" s="355">
        <f>'Operating Data'!W184</f>
        <v>26015.931676027001</v>
      </c>
      <c r="X242" s="355">
        <f>'Operating Data'!X184</f>
        <v>26491.322074858006</v>
      </c>
      <c r="Y242" s="355">
        <f t="shared" ref="Y242:Y249" si="103">AE242</f>
        <v>27777.512648584001</v>
      </c>
      <c r="Z242" s="355"/>
      <c r="AA242" s="355"/>
      <c r="AB242" s="355">
        <f>'Operating Data'!AB184</f>
        <v>6866.1253563809987</v>
      </c>
      <c r="AC242" s="355">
        <f>'Operating Data'!AC184</f>
        <v>13586.293384385999</v>
      </c>
      <c r="AD242" s="355">
        <f>'Operating Data'!AD184</f>
        <v>20314.117563954002</v>
      </c>
      <c r="AE242" s="355">
        <f>'Operating Data'!AE184</f>
        <v>27777.512648584001</v>
      </c>
      <c r="AF242" s="355">
        <f>'Operating Data'!AF184</f>
        <v>7308.2860633489991</v>
      </c>
      <c r="AG242" s="355"/>
      <c r="AH242" s="355"/>
      <c r="AI242" s="355"/>
      <c r="AK242" s="355"/>
      <c r="AL242" s="355"/>
      <c r="AM242" s="355"/>
      <c r="AN242" s="355"/>
      <c r="AO242" s="355"/>
      <c r="AP242" s="355"/>
      <c r="AQ242" s="355"/>
      <c r="AR242" s="355"/>
    </row>
    <row r="243" spans="2:44" ht="15" customHeight="1" x14ac:dyDescent="0.25">
      <c r="B243" s="158" t="s">
        <v>131</v>
      </c>
      <c r="C243" s="158"/>
      <c r="D243" s="158"/>
      <c r="E243" s="158"/>
      <c r="F243" s="158"/>
      <c r="G243" s="158"/>
      <c r="H243" s="158"/>
      <c r="I243" s="158"/>
      <c r="J243" s="158"/>
      <c r="K243" s="158"/>
      <c r="L243" s="158"/>
      <c r="M243" s="158"/>
      <c r="N243" s="158"/>
      <c r="O243" s="158"/>
      <c r="P243" s="158"/>
      <c r="Q243" s="158"/>
      <c r="R243" s="158"/>
      <c r="S243" s="158"/>
      <c r="T243" s="367" t="s">
        <v>17</v>
      </c>
      <c r="U243" s="367">
        <f>IFERROR(IF(OR(U242/T242-1&gt;2,U242/T242-1&lt;-0.95),"-",U242/T242-1),"-")</f>
        <v>2.3368714553674952E-2</v>
      </c>
      <c r="V243" s="368">
        <f>IFERROR(IF(OR(V242/U242-1&gt;2,V242/U242-1&lt;-0.95),"-",V242/U242-1),"-")</f>
        <v>-4.5727529591376936E-2</v>
      </c>
      <c r="W243" s="388">
        <f>IFERROR(IF(OR(W242/V242-1&gt;2,W242/V242-1&lt;-0.95),"-",W242/V242-1),"-")</f>
        <v>6.5309843005077584E-2</v>
      </c>
      <c r="X243" s="388" t="str">
        <f>IFERROR(IF(OR(X242/Q242-1&gt;2,X242/Q242-1&lt;-0.95),"-",X242/Q242-1),"-")</f>
        <v>-</v>
      </c>
      <c r="Y243" s="369" t="str">
        <f t="shared" si="103"/>
        <v>-</v>
      </c>
      <c r="Z243" s="367"/>
      <c r="AB243" s="369" t="str">
        <f>IFERROR(IF(OR(AB242/#REF!-1&gt;2,AB242/#REF!-1&lt;-0.95),"-",AB242/#REF!-1),"-")</f>
        <v>-</v>
      </c>
      <c r="AC243" s="369" t="str">
        <f>IFERROR(IF(OR(AC242/#REF!-1&gt;2,AC242/#REF!-1&lt;-0.95),"-",AC242/#REF!-1),"-")</f>
        <v>-</v>
      </c>
      <c r="AD243" s="369" t="str">
        <f>IFERROR(IF(OR(AD242/#REF!-1&gt;2,AD242/#REF!-1&lt;-0.95),"-",AD242/#REF!-1),"-")</f>
        <v>-</v>
      </c>
      <c r="AE243" s="369" t="str">
        <f>IFERROR(IF(OR(AE242/#REF!-1&gt;2,AE242/#REF!-1&lt;-0.95),"-",AE242/#REF!-1),"-")</f>
        <v>-</v>
      </c>
      <c r="AF243" s="369" t="str">
        <f>IFERROR(IF(OR(AF242/#REF!-1&gt;2,AF242/#REF!-1&lt;-0.95),"-",AF242/#REF!-1),"-")</f>
        <v>-</v>
      </c>
      <c r="AG243" s="369"/>
      <c r="AH243" s="369"/>
      <c r="AI243" s="369"/>
      <c r="AK243" s="369"/>
      <c r="AL243" s="369"/>
      <c r="AM243" s="369"/>
      <c r="AN243" s="369"/>
      <c r="AO243" s="369"/>
      <c r="AP243" s="369"/>
      <c r="AQ243" s="369"/>
      <c r="AR243" s="369"/>
    </row>
    <row r="244" spans="2:44" ht="15" customHeight="1" x14ac:dyDescent="0.25">
      <c r="B244" s="41" t="s">
        <v>156</v>
      </c>
      <c r="C244" s="41"/>
      <c r="D244" s="41"/>
      <c r="E244" s="41"/>
      <c r="F244" s="41"/>
      <c r="G244" s="41"/>
      <c r="H244" s="41"/>
      <c r="I244" s="41"/>
      <c r="J244" s="41"/>
      <c r="K244" s="41"/>
      <c r="L244" s="41"/>
      <c r="M244" s="41"/>
      <c r="N244" s="41"/>
      <c r="O244" s="41"/>
      <c r="P244" s="41"/>
      <c r="Q244" s="41"/>
      <c r="R244" s="41"/>
      <c r="S244" s="41"/>
      <c r="T244" s="356">
        <v>11173.044852031358</v>
      </c>
      <c r="U244" s="356">
        <v>11389.168486841751</v>
      </c>
      <c r="V244" s="356">
        <v>10992</v>
      </c>
      <c r="W244" s="356">
        <f>'Operating Data'!W185</f>
        <v>12450.758695522998</v>
      </c>
      <c r="X244" s="356">
        <f>'Operating Data'!X185</f>
        <v>12737.459962085999</v>
      </c>
      <c r="Y244" s="356">
        <f t="shared" si="103"/>
        <v>13471.066256078002</v>
      </c>
      <c r="Z244" s="356"/>
      <c r="AA244" s="356"/>
      <c r="AB244" s="356">
        <f>'Operating Data'!AB185</f>
        <v>3237.2300079160004</v>
      </c>
      <c r="AC244" s="356">
        <f>'Operating Data'!AC185</f>
        <v>6490.1788213780001</v>
      </c>
      <c r="AD244" s="356">
        <f>'Operating Data'!AD185</f>
        <v>9868.5657300859984</v>
      </c>
      <c r="AE244" s="356">
        <f>'Operating Data'!AE185</f>
        <v>13471.066256078002</v>
      </c>
      <c r="AF244" s="356">
        <f>'Operating Data'!AF185</f>
        <v>3581.8383233609998</v>
      </c>
      <c r="AG244" s="356"/>
      <c r="AH244" s="356"/>
      <c r="AI244" s="356"/>
      <c r="AK244" s="356"/>
      <c r="AL244" s="356"/>
      <c r="AM244" s="356"/>
      <c r="AN244" s="356"/>
      <c r="AO244" s="356"/>
      <c r="AP244" s="356"/>
      <c r="AQ244" s="356"/>
      <c r="AR244" s="356"/>
    </row>
    <row r="245" spans="2:44" ht="15" customHeight="1" x14ac:dyDescent="0.25">
      <c r="B245" s="158" t="s">
        <v>131</v>
      </c>
      <c r="C245" s="158"/>
      <c r="D245" s="158"/>
      <c r="E245" s="158"/>
      <c r="F245" s="158"/>
      <c r="G245" s="158"/>
      <c r="H245" s="158"/>
      <c r="I245" s="158"/>
      <c r="J245" s="158"/>
      <c r="K245" s="158"/>
      <c r="L245" s="158"/>
      <c r="M245" s="158"/>
      <c r="N245" s="158"/>
      <c r="O245" s="158"/>
      <c r="P245" s="158"/>
      <c r="Q245" s="158"/>
      <c r="R245" s="158"/>
      <c r="S245" s="158"/>
      <c r="T245" s="367" t="s">
        <v>17</v>
      </c>
      <c r="U245" s="367">
        <f>IFERROR(IF(OR(U244/T244-1&gt;2,U244/T244-1&lt;-0.95),"-",U244/T244-1),"-")</f>
        <v>1.9343306831091756E-2</v>
      </c>
      <c r="V245" s="368">
        <f>IFERROR(IF(OR(V244/U244-1&gt;2,V244/U244-1&lt;-0.95),"-",V244/U244-1),"-")</f>
        <v>-3.4872474430474143E-2</v>
      </c>
      <c r="W245" s="388">
        <f>IFERROR(IF(OR(W244/V244-1&gt;2,W244/V244-1&lt;-0.95),"-",W244/V244-1),"-")</f>
        <v>0.13271094391584781</v>
      </c>
      <c r="X245" s="388" t="str">
        <f>IFERROR(IF(OR(X244/Q244-1&gt;2,X244/Q244-1&lt;-0.95),"-",X244/Q244-1),"-")</f>
        <v>-</v>
      </c>
      <c r="Y245" s="369" t="str">
        <f t="shared" si="103"/>
        <v>-</v>
      </c>
      <c r="Z245" s="367"/>
      <c r="AB245" s="369" t="str">
        <f>IFERROR(IF(OR(AB244/#REF!-1&gt;2,AB244/#REF!-1&lt;-0.95),"-",AB244/#REF!-1),"-")</f>
        <v>-</v>
      </c>
      <c r="AC245" s="369" t="str">
        <f>IFERROR(IF(OR(AC244/#REF!-1&gt;2,AC244/#REF!-1&lt;-0.95),"-",AC244/#REF!-1),"-")</f>
        <v>-</v>
      </c>
      <c r="AD245" s="369" t="str">
        <f>IFERROR(IF(OR(AD244/#REF!-1&gt;2,AD244/#REF!-1&lt;-0.95),"-",AD244/#REF!-1),"-")</f>
        <v>-</v>
      </c>
      <c r="AE245" s="369" t="str">
        <f>IFERROR(IF(OR(AE244/#REF!-1&gt;2,AE244/#REF!-1&lt;-0.95),"-",AE244/#REF!-1),"-")</f>
        <v>-</v>
      </c>
      <c r="AF245" s="369" t="str">
        <f>IFERROR(IF(OR(AF244/#REF!-1&gt;2,AF244/#REF!-1&lt;-0.95),"-",AF244/#REF!-1),"-")</f>
        <v>-</v>
      </c>
      <c r="AG245" s="369"/>
      <c r="AH245" s="369"/>
      <c r="AI245" s="369"/>
      <c r="AK245" s="369"/>
      <c r="AL245" s="369"/>
      <c r="AM245" s="369"/>
      <c r="AN245" s="369"/>
      <c r="AO245" s="369"/>
      <c r="AP245" s="369"/>
      <c r="AQ245" s="369"/>
      <c r="AR245" s="369"/>
    </row>
    <row r="246" spans="2:44" ht="15" customHeight="1" x14ac:dyDescent="0.25">
      <c r="B246" s="41" t="s">
        <v>157</v>
      </c>
      <c r="C246" s="41"/>
      <c r="D246" s="41"/>
      <c r="E246" s="41"/>
      <c r="F246" s="41"/>
      <c r="G246" s="41"/>
      <c r="H246" s="41"/>
      <c r="I246" s="41"/>
      <c r="J246" s="41"/>
      <c r="K246" s="41"/>
      <c r="L246" s="41"/>
      <c r="M246" s="41"/>
      <c r="N246" s="41"/>
      <c r="O246" s="41"/>
      <c r="P246" s="41"/>
      <c r="Q246" s="41"/>
      <c r="R246" s="41"/>
      <c r="S246" s="41"/>
      <c r="T246" s="356">
        <v>1890.3064438720003</v>
      </c>
      <c r="U246" s="356">
        <v>1718.5116513369999</v>
      </c>
      <c r="V246" s="356">
        <v>1405.4386526870001</v>
      </c>
      <c r="W246" s="356">
        <f>'Operating Data'!W186</f>
        <v>1366.628102162</v>
      </c>
      <c r="X246" s="356">
        <f>'Operating Data'!X186</f>
        <v>1201.52932177</v>
      </c>
      <c r="Y246" s="356">
        <f t="shared" si="103"/>
        <v>1032.9087058809982</v>
      </c>
      <c r="Z246" s="356"/>
      <c r="AA246" s="356"/>
      <c r="AB246" s="356">
        <f>'Operating Data'!AB186</f>
        <v>267.76932370600002</v>
      </c>
      <c r="AC246" s="356">
        <f>'Operating Data'!AC186</f>
        <v>524.34728342300002</v>
      </c>
      <c r="AD246" s="356">
        <f>'Operating Data'!AD186</f>
        <v>781.59280307000017</v>
      </c>
      <c r="AE246" s="356">
        <f>'Operating Data'!AE186</f>
        <v>1032.9087058809982</v>
      </c>
      <c r="AF246" s="356">
        <f>'Operating Data'!AF186</f>
        <v>224.98057074561257</v>
      </c>
      <c r="AG246" s="356"/>
      <c r="AH246" s="356"/>
      <c r="AI246" s="356"/>
      <c r="AK246" s="356"/>
      <c r="AL246" s="356"/>
      <c r="AM246" s="356"/>
      <c r="AN246" s="356"/>
      <c r="AO246" s="356"/>
      <c r="AP246" s="356"/>
      <c r="AQ246" s="356"/>
      <c r="AR246" s="356"/>
    </row>
    <row r="247" spans="2:44" ht="15" customHeight="1" x14ac:dyDescent="0.25">
      <c r="B247" s="158" t="s">
        <v>131</v>
      </c>
      <c r="C247" s="158"/>
      <c r="D247" s="158"/>
      <c r="E247" s="158"/>
      <c r="F247" s="158"/>
      <c r="G247" s="158"/>
      <c r="H247" s="158"/>
      <c r="I247" s="158"/>
      <c r="J247" s="158"/>
      <c r="K247" s="158"/>
      <c r="L247" s="158"/>
      <c r="M247" s="158"/>
      <c r="N247" s="158"/>
      <c r="O247" s="158"/>
      <c r="P247" s="158"/>
      <c r="Q247" s="158"/>
      <c r="R247" s="158"/>
      <c r="S247" s="158"/>
      <c r="T247" s="367" t="s">
        <v>17</v>
      </c>
      <c r="U247" s="367">
        <f>IFERROR(IF(OR(U246/T246-1&gt;2,U246/T246-1&lt;-0.95),"-",U246/T246-1),"-")</f>
        <v>-9.0881980057744172E-2</v>
      </c>
      <c r="V247" s="368">
        <f>IFERROR(IF(OR(V246/U246-1&gt;2,V246/U246-1&lt;-0.95),"-",V246/U246-1),"-")</f>
        <v>-0.18217682632900944</v>
      </c>
      <c r="W247" s="388">
        <f>IFERROR(IF(OR(W246/V246-1&gt;2,W246/V246-1&lt;-0.95),"-",W246/V246-1),"-")</f>
        <v>-2.7614546142444407E-2</v>
      </c>
      <c r="X247" s="388" t="str">
        <f>IFERROR(IF(OR(X246/Q246-1&gt;2,X246/Q246-1&lt;-0.95),"-",X246/Q246-1),"-")</f>
        <v>-</v>
      </c>
      <c r="Y247" s="369" t="str">
        <f t="shared" si="103"/>
        <v>-</v>
      </c>
      <c r="Z247" s="367"/>
      <c r="AB247" s="369" t="str">
        <f>IFERROR(IF(OR(AB246/#REF!-1&gt;2,AB246/#REF!-1&lt;-0.95),"-",AB246/#REF!-1),"-")</f>
        <v>-</v>
      </c>
      <c r="AC247" s="369" t="str">
        <f>IFERROR(IF(OR(AC246/#REF!-1&gt;2,AC246/#REF!-1&lt;-0.95),"-",AC246/#REF!-1),"-")</f>
        <v>-</v>
      </c>
      <c r="AD247" s="369" t="str">
        <f>IFERROR(IF(OR(AD246/#REF!-1&gt;2,AD246/#REF!-1&lt;-0.95),"-",AD246/#REF!-1),"-")</f>
        <v>-</v>
      </c>
      <c r="AE247" s="369" t="str">
        <f>IFERROR(IF(OR(AE246/#REF!-1&gt;2,AE246/#REF!-1&lt;-0.95),"-",AE246/#REF!-1),"-")</f>
        <v>-</v>
      </c>
      <c r="AF247" s="369" t="str">
        <f>IFERROR(IF(OR(AF246/#REF!-1&gt;2,AF246/#REF!-1&lt;-0.95),"-",AF246/#REF!-1),"-")</f>
        <v>-</v>
      </c>
      <c r="AG247" s="369"/>
      <c r="AH247" s="369"/>
      <c r="AI247" s="369"/>
      <c r="AK247" s="369"/>
      <c r="AL247" s="369"/>
      <c r="AM247" s="369"/>
      <c r="AN247" s="369"/>
      <c r="AO247" s="369"/>
      <c r="AP247" s="369"/>
      <c r="AQ247" s="369"/>
      <c r="AR247" s="369"/>
    </row>
    <row r="248" spans="2:44" ht="15" customHeight="1" x14ac:dyDescent="0.25">
      <c r="B248" s="41" t="s">
        <v>158</v>
      </c>
      <c r="C248" s="41"/>
      <c r="D248" s="41"/>
      <c r="E248" s="41"/>
      <c r="F248" s="41"/>
      <c r="G248" s="41"/>
      <c r="H248" s="41"/>
      <c r="I248" s="41"/>
      <c r="J248" s="41"/>
      <c r="K248" s="41"/>
      <c r="L248" s="41"/>
      <c r="M248" s="41"/>
      <c r="N248" s="41"/>
      <c r="O248" s="41"/>
      <c r="P248" s="41"/>
      <c r="Q248" s="41"/>
      <c r="R248" s="41"/>
      <c r="S248" s="41"/>
      <c r="T248" s="356">
        <v>11943.494294130831</v>
      </c>
      <c r="U248" s="356">
        <v>12483.543288336778</v>
      </c>
      <c r="V248" s="356">
        <v>12023.647012121999</v>
      </c>
      <c r="W248" s="356">
        <f>'Operating Data'!W187</f>
        <v>12220.374414122001</v>
      </c>
      <c r="X248" s="356">
        <f>'Operating Data'!X187</f>
        <v>12552.600299687001</v>
      </c>
      <c r="Y248" s="356">
        <f t="shared" si="103"/>
        <v>13273.537686625001</v>
      </c>
      <c r="Z248" s="356"/>
      <c r="AA248" s="356"/>
      <c r="AB248" s="356">
        <f>'Operating Data'!AB187</f>
        <v>3361.3823197599995</v>
      </c>
      <c r="AC248" s="356">
        <f>'Operating Data'!AC187</f>
        <v>6572.0235745859991</v>
      </c>
      <c r="AD248" s="356">
        <f>'Operating Data'!AD187</f>
        <v>9664.2153258059989</v>
      </c>
      <c r="AE248" s="356">
        <f>'Operating Data'!AE187</f>
        <v>13273.537686625001</v>
      </c>
      <c r="AF248" s="356">
        <f>'Operating Data'!AF187</f>
        <v>3501.4671692423867</v>
      </c>
      <c r="AG248" s="356"/>
      <c r="AH248" s="356"/>
      <c r="AI248" s="356"/>
      <c r="AK248" s="356"/>
      <c r="AL248" s="356"/>
      <c r="AM248" s="356"/>
      <c r="AN248" s="356"/>
      <c r="AO248" s="356"/>
      <c r="AP248" s="356"/>
      <c r="AQ248" s="356"/>
      <c r="AR248" s="356"/>
    </row>
    <row r="249" spans="2:44" ht="15" customHeight="1" x14ac:dyDescent="0.25">
      <c r="B249" s="158" t="s">
        <v>131</v>
      </c>
      <c r="C249" s="158"/>
      <c r="D249" s="158"/>
      <c r="E249" s="158"/>
      <c r="F249" s="158"/>
      <c r="G249" s="158"/>
      <c r="H249" s="158"/>
      <c r="I249" s="158"/>
      <c r="J249" s="158"/>
      <c r="K249" s="158"/>
      <c r="L249" s="158"/>
      <c r="M249" s="158"/>
      <c r="N249" s="158"/>
      <c r="O249" s="158"/>
      <c r="P249" s="158"/>
      <c r="Q249" s="158"/>
      <c r="R249" s="158"/>
      <c r="S249" s="158"/>
      <c r="T249" s="367" t="s">
        <v>17</v>
      </c>
      <c r="U249" s="367">
        <f>IFERROR(IF(OR(U248/T248-1&gt;2,U248/T248-1&lt;-0.95),"-",U248/T248-1),"-")</f>
        <v>4.5217001064029816E-2</v>
      </c>
      <c r="V249" s="368">
        <f>IFERROR(IF(OR(V248/U248-1&gt;2,V248/U248-1&lt;-0.95),"-",V248/U248-1),"-")</f>
        <v>-3.6840203585824405E-2</v>
      </c>
      <c r="W249" s="388">
        <f>IFERROR(IF(OR(W248/V248-1&gt;2,W248/V248-1&lt;-0.95),"-",W248/V248-1),"-")</f>
        <v>1.636170804096837E-2</v>
      </c>
      <c r="X249" s="388" t="str">
        <f>IFERROR(IF(OR(X248/Q248-1&gt;2,X248/Q248-1&lt;-0.95),"-",X248/Q248-1),"-")</f>
        <v>-</v>
      </c>
      <c r="Y249" s="369" t="str">
        <f t="shared" si="103"/>
        <v>-</v>
      </c>
      <c r="Z249" s="367"/>
      <c r="AB249" s="369" t="str">
        <f>IFERROR(IF(OR(AB248/#REF!-1&gt;2,AB248/#REF!-1&lt;-0.95),"-",AB248/#REF!-1),"-")</f>
        <v>-</v>
      </c>
      <c r="AC249" s="369" t="str">
        <f>IFERROR(IF(OR(AC248/#REF!-1&gt;2,AC248/#REF!-1&lt;-0.95),"-",AC248/#REF!-1),"-")</f>
        <v>-</v>
      </c>
      <c r="AD249" s="369" t="str">
        <f>IFERROR(IF(OR(AD248/#REF!-1&gt;2,AD248/#REF!-1&lt;-0.95),"-",AD248/#REF!-1),"-")</f>
        <v>-</v>
      </c>
      <c r="AE249" s="369" t="str">
        <f>IFERROR(IF(OR(AE248/#REF!-1&gt;2,AE248/#REF!-1&lt;-0.95),"-",AE248/#REF!-1),"-")</f>
        <v>-</v>
      </c>
      <c r="AF249" s="369" t="str">
        <f>IFERROR(IF(OR(AF248/#REF!-1&gt;2,AF248/#REF!-1&lt;-0.95),"-",AF248/#REF!-1),"-")</f>
        <v>-</v>
      </c>
      <c r="AG249" s="369"/>
      <c r="AH249" s="369"/>
      <c r="AI249" s="369"/>
      <c r="AK249" s="367"/>
      <c r="AL249" s="367"/>
      <c r="AM249" s="367"/>
      <c r="AN249" s="367"/>
      <c r="AO249" s="367"/>
      <c r="AP249" s="367"/>
      <c r="AQ249" s="367"/>
      <c r="AR249" s="367"/>
    </row>
    <row r="251" spans="2:44" ht="15" customHeight="1" x14ac:dyDescent="0.25">
      <c r="B251" s="172" t="s">
        <v>229</v>
      </c>
      <c r="C251" s="172"/>
      <c r="D251" s="172"/>
      <c r="E251" s="172"/>
      <c r="F251" s="172"/>
      <c r="G251" s="172"/>
      <c r="H251" s="172"/>
      <c r="I251" s="172"/>
      <c r="J251" s="172"/>
      <c r="K251" s="172"/>
      <c r="L251" s="172"/>
      <c r="M251" s="172"/>
      <c r="N251" s="172"/>
      <c r="O251" s="172"/>
      <c r="P251" s="172"/>
      <c r="Q251" s="172"/>
      <c r="R251" s="172"/>
      <c r="S251" s="172"/>
      <c r="T251" s="228">
        <v>2018</v>
      </c>
      <c r="U251" s="228">
        <v>2019</v>
      </c>
      <c r="V251" s="228">
        <v>2020</v>
      </c>
      <c r="W251" s="228">
        <v>2021</v>
      </c>
      <c r="X251" s="228">
        <v>2022</v>
      </c>
      <c r="Y251" s="231">
        <v>2023</v>
      </c>
      <c r="Z251" s="230">
        <v>2024</v>
      </c>
      <c r="AB251" s="231" t="s">
        <v>291</v>
      </c>
      <c r="AC251" s="231" t="s">
        <v>292</v>
      </c>
      <c r="AD251" s="231" t="s">
        <v>293</v>
      </c>
      <c r="AE251" s="231">
        <v>2023</v>
      </c>
      <c r="AF251" s="232" t="s">
        <v>318</v>
      </c>
      <c r="AG251" s="232" t="s">
        <v>319</v>
      </c>
      <c r="AH251" s="232" t="s">
        <v>320</v>
      </c>
      <c r="AI251" s="232">
        <v>2024</v>
      </c>
      <c r="AK251" s="231" t="s">
        <v>291</v>
      </c>
      <c r="AL251" s="231" t="s">
        <v>296</v>
      </c>
      <c r="AM251" s="231" t="s">
        <v>294</v>
      </c>
      <c r="AN251" s="231" t="s">
        <v>295</v>
      </c>
      <c r="AO251" s="232" t="s">
        <v>318</v>
      </c>
      <c r="AP251" s="232" t="s">
        <v>321</v>
      </c>
      <c r="AQ251" s="232" t="s">
        <v>322</v>
      </c>
      <c r="AR251" s="232" t="s">
        <v>323</v>
      </c>
    </row>
    <row r="252" spans="2:44" ht="15" customHeight="1" x14ac:dyDescent="0.25">
      <c r="B252" s="94" t="s">
        <v>455</v>
      </c>
      <c r="C252" s="94"/>
      <c r="D252" s="94"/>
      <c r="E252" s="94"/>
      <c r="F252" s="94"/>
      <c r="G252" s="94"/>
      <c r="H252" s="94"/>
      <c r="I252" s="94"/>
      <c r="J252" s="94"/>
      <c r="K252" s="94"/>
      <c r="L252" s="94"/>
      <c r="M252" s="94"/>
      <c r="N252" s="94"/>
      <c r="O252" s="94"/>
      <c r="P252" s="94"/>
      <c r="Q252" s="94"/>
      <c r="R252" s="94"/>
      <c r="S252" s="94"/>
      <c r="T252" s="389">
        <v>0</v>
      </c>
      <c r="U252" s="389">
        <v>17.815720679999998</v>
      </c>
      <c r="V252" s="382">
        <v>29.2</v>
      </c>
      <c r="W252" s="355">
        <v>119.7</v>
      </c>
      <c r="X252" s="355">
        <v>188.4</v>
      </c>
      <c r="Y252" s="355">
        <f>AE252</f>
        <v>780.04121255000007</v>
      </c>
      <c r="Z252" s="389"/>
      <c r="AB252" s="355">
        <v>188.4</v>
      </c>
      <c r="AC252" s="355">
        <v>369.459</v>
      </c>
      <c r="AD252" s="355">
        <v>571.67956702999993</v>
      </c>
      <c r="AE252" s="355">
        <v>780.04121255000007</v>
      </c>
      <c r="AF252" s="355">
        <v>200.56770025</v>
      </c>
      <c r="AG252" s="355"/>
      <c r="AH252" s="355"/>
      <c r="AI252" s="355"/>
      <c r="AK252" s="355">
        <f>AB252</f>
        <v>188.4</v>
      </c>
      <c r="AL252" s="355">
        <f>AC252-AB252</f>
        <v>181.059</v>
      </c>
      <c r="AM252" s="355">
        <f>AD252-AC252</f>
        <v>202.22056702999993</v>
      </c>
      <c r="AN252" s="355">
        <f>AE252-AD252</f>
        <v>208.36164552000014</v>
      </c>
      <c r="AO252" s="355">
        <f>AF252</f>
        <v>200.56770025</v>
      </c>
      <c r="AP252" s="355"/>
      <c r="AQ252" s="355"/>
      <c r="AR252" s="355"/>
    </row>
    <row r="253" spans="2:44" ht="15" customHeight="1" x14ac:dyDescent="0.25">
      <c r="B253" s="94"/>
      <c r="C253" s="94"/>
      <c r="D253" s="94"/>
      <c r="E253" s="94"/>
      <c r="F253" s="94"/>
      <c r="G253" s="94"/>
      <c r="H253" s="94"/>
      <c r="I253" s="94"/>
      <c r="J253" s="94"/>
      <c r="K253" s="94"/>
      <c r="L253" s="94"/>
      <c r="M253" s="94"/>
      <c r="N253" s="94"/>
      <c r="O253" s="94"/>
      <c r="P253" s="94"/>
      <c r="Q253" s="94"/>
      <c r="R253" s="94"/>
      <c r="S253" s="94"/>
      <c r="T253" s="355"/>
      <c r="U253" s="355"/>
      <c r="V253" s="355"/>
      <c r="W253" s="355"/>
      <c r="X253" s="355"/>
      <c r="Y253" s="355"/>
      <c r="Z253" s="355"/>
      <c r="AB253" s="355"/>
      <c r="AC253" s="355"/>
      <c r="AD253" s="355"/>
      <c r="AE253" s="355"/>
      <c r="AF253" s="355"/>
      <c r="AG253" s="355"/>
      <c r="AH253" s="355"/>
      <c r="AI253" s="355"/>
      <c r="AK253" s="355"/>
      <c r="AL253" s="355"/>
      <c r="AM253" s="355"/>
      <c r="AN253" s="355"/>
      <c r="AO253" s="355"/>
      <c r="AP253" s="355"/>
      <c r="AQ253" s="355"/>
      <c r="AR253" s="355"/>
    </row>
    <row r="254" spans="2:44" ht="15" customHeight="1" x14ac:dyDescent="0.25">
      <c r="B254" s="95" t="s">
        <v>16</v>
      </c>
      <c r="C254" s="95"/>
      <c r="D254" s="95"/>
      <c r="E254" s="95"/>
      <c r="F254" s="95"/>
      <c r="G254" s="95"/>
      <c r="H254" s="95"/>
      <c r="I254" s="95"/>
      <c r="J254" s="95"/>
      <c r="K254" s="95"/>
      <c r="L254" s="95"/>
      <c r="M254" s="95"/>
      <c r="N254" s="95"/>
      <c r="O254" s="95"/>
      <c r="P254" s="95"/>
      <c r="Q254" s="95"/>
      <c r="R254" s="95"/>
      <c r="S254" s="95"/>
      <c r="T254" s="390">
        <v>0</v>
      </c>
      <c r="U254" s="391">
        <v>2188.52301304</v>
      </c>
      <c r="V254" s="391">
        <v>1412.1194865</v>
      </c>
      <c r="W254" s="391">
        <v>1746.5512248399998</v>
      </c>
      <c r="X254" s="391">
        <v>1521.9653339899999</v>
      </c>
      <c r="Y254" s="391">
        <f>AE254</f>
        <v>1816.5197586600004</v>
      </c>
      <c r="Z254" s="504"/>
      <c r="AB254" s="391">
        <v>410.30946755000008</v>
      </c>
      <c r="AC254" s="391">
        <v>788.78873987999998</v>
      </c>
      <c r="AD254" s="391">
        <v>1457.2660324100004</v>
      </c>
      <c r="AE254" s="391">
        <v>1816.5197586600004</v>
      </c>
      <c r="AF254" s="391">
        <v>352.57295738000005</v>
      </c>
      <c r="AG254" s="504"/>
      <c r="AH254" s="504"/>
      <c r="AI254" s="504"/>
      <c r="AK254" s="391">
        <f t="shared" ref="AK254:AK261" si="104">AB254</f>
        <v>410.30946755000008</v>
      </c>
      <c r="AL254" s="391">
        <f t="shared" ref="AL254:AN261" si="105">AC254-AB254</f>
        <v>378.4792723299999</v>
      </c>
      <c r="AM254" s="391">
        <f t="shared" si="105"/>
        <v>668.47729253000045</v>
      </c>
      <c r="AN254" s="391">
        <f t="shared" si="105"/>
        <v>359.25372625</v>
      </c>
      <c r="AO254" s="391">
        <f t="shared" ref="AO254:AO261" si="106">AF254</f>
        <v>352.57295738000005</v>
      </c>
      <c r="AP254" s="504"/>
      <c r="AQ254" s="504"/>
      <c r="AR254" s="504"/>
    </row>
    <row r="255" spans="2:44" ht="15" customHeight="1" x14ac:dyDescent="0.25">
      <c r="B255" s="77" t="s">
        <v>456</v>
      </c>
      <c r="C255" s="77"/>
      <c r="D255" s="77"/>
      <c r="E255" s="77"/>
      <c r="F255" s="77"/>
      <c r="G255" s="77"/>
      <c r="H255" s="77"/>
      <c r="I255" s="77"/>
      <c r="J255" s="77"/>
      <c r="K255" s="77"/>
      <c r="L255" s="77"/>
      <c r="M255" s="77"/>
      <c r="N255" s="77"/>
      <c r="O255" s="77"/>
      <c r="P255" s="77"/>
      <c r="Q255" s="77"/>
      <c r="R255" s="77"/>
      <c r="S255" s="77"/>
      <c r="T255" s="358">
        <v>0</v>
      </c>
      <c r="U255" s="355">
        <v>2247.8726364000004</v>
      </c>
      <c r="V255" s="355">
        <v>1168.49668423</v>
      </c>
      <c r="W255" s="355">
        <v>1224.4045146000001</v>
      </c>
      <c r="X255" s="355">
        <v>494.16368890999996</v>
      </c>
      <c r="Y255" s="355">
        <f>AE255</f>
        <v>669.54509587999996</v>
      </c>
      <c r="Z255" s="355"/>
      <c r="AB255" s="355">
        <v>188</v>
      </c>
      <c r="AC255" s="355">
        <v>325.85761673999997</v>
      </c>
      <c r="AD255" s="355">
        <v>568.60438003000013</v>
      </c>
      <c r="AE255" s="355">
        <v>669.54509587999996</v>
      </c>
      <c r="AF255" s="355">
        <v>131.97753896</v>
      </c>
      <c r="AG255" s="355"/>
      <c r="AH255" s="355"/>
      <c r="AI255" s="355"/>
      <c r="AK255" s="355">
        <f t="shared" si="104"/>
        <v>188</v>
      </c>
      <c r="AL255" s="355">
        <f t="shared" si="105"/>
        <v>137.85761673999997</v>
      </c>
      <c r="AM255" s="355">
        <f t="shared" si="105"/>
        <v>242.74676329000016</v>
      </c>
      <c r="AN255" s="355">
        <f t="shared" si="105"/>
        <v>100.94071584999983</v>
      </c>
      <c r="AO255" s="355">
        <f t="shared" si="106"/>
        <v>131.97753896</v>
      </c>
      <c r="AP255" s="355"/>
      <c r="AQ255" s="355"/>
      <c r="AR255" s="355"/>
    </row>
    <row r="256" spans="2:44" ht="15" customHeight="1" x14ac:dyDescent="0.25">
      <c r="B256" s="77" t="s">
        <v>457</v>
      </c>
      <c r="C256" s="77"/>
      <c r="D256" s="77"/>
      <c r="E256" s="77"/>
      <c r="F256" s="77"/>
      <c r="G256" s="77"/>
      <c r="H256" s="77"/>
      <c r="I256" s="77"/>
      <c r="J256" s="77"/>
      <c r="K256" s="77"/>
      <c r="L256" s="77"/>
      <c r="M256" s="77"/>
      <c r="N256" s="77"/>
      <c r="O256" s="77"/>
      <c r="P256" s="77"/>
      <c r="Q256" s="77"/>
      <c r="R256" s="77"/>
      <c r="S256" s="77"/>
      <c r="T256" s="356">
        <v>0</v>
      </c>
      <c r="U256" s="356">
        <v>156.59941080000002</v>
      </c>
      <c r="V256" s="356">
        <v>373.91281063999998</v>
      </c>
      <c r="W256" s="356">
        <v>618.74714717999996</v>
      </c>
      <c r="X256" s="356">
        <v>983.602254440004</v>
      </c>
      <c r="Y256" s="356">
        <f>AE256</f>
        <v>1037.3864925400001</v>
      </c>
      <c r="Z256" s="356"/>
      <c r="AB256" s="356">
        <v>204</v>
      </c>
      <c r="AC256" s="356">
        <v>410.44095516999994</v>
      </c>
      <c r="AD256" s="356">
        <v>848.73198387263108</v>
      </c>
      <c r="AE256" s="356">
        <v>1037.3864925400001</v>
      </c>
      <c r="AF256" s="356">
        <v>196.98186667000002</v>
      </c>
      <c r="AG256" s="356"/>
      <c r="AH256" s="356"/>
      <c r="AI256" s="356"/>
      <c r="AK256" s="356">
        <f t="shared" si="104"/>
        <v>204</v>
      </c>
      <c r="AL256" s="356">
        <f t="shared" si="105"/>
        <v>206.44095516999994</v>
      </c>
      <c r="AM256" s="356">
        <f t="shared" si="105"/>
        <v>438.29102870263114</v>
      </c>
      <c r="AN256" s="356">
        <f t="shared" si="105"/>
        <v>188.65450866736899</v>
      </c>
      <c r="AO256" s="356">
        <f t="shared" si="106"/>
        <v>196.98186667000002</v>
      </c>
      <c r="AP256" s="356"/>
      <c r="AQ256" s="356"/>
      <c r="AR256" s="356"/>
    </row>
    <row r="257" spans="2:44" ht="15" customHeight="1" x14ac:dyDescent="0.25">
      <c r="B257" s="77" t="s">
        <v>42</v>
      </c>
      <c r="C257" s="77"/>
      <c r="D257" s="77"/>
      <c r="E257" s="77"/>
      <c r="F257" s="77"/>
      <c r="G257" s="77"/>
      <c r="H257" s="77"/>
      <c r="I257" s="77"/>
      <c r="J257" s="77"/>
      <c r="K257" s="77"/>
      <c r="L257" s="77"/>
      <c r="M257" s="77"/>
      <c r="N257" s="77"/>
      <c r="O257" s="77"/>
      <c r="P257" s="77"/>
      <c r="Q257" s="77"/>
      <c r="R257" s="77"/>
      <c r="S257" s="77"/>
      <c r="T257" s="356">
        <v>0</v>
      </c>
      <c r="U257" s="356">
        <v>-215.94903416000011</v>
      </c>
      <c r="V257" s="356">
        <v>-130.2900083699999</v>
      </c>
      <c r="W257" s="356">
        <v>-96.600436940000236</v>
      </c>
      <c r="X257" s="356">
        <v>44.199390639995954</v>
      </c>
      <c r="Y257" s="356">
        <f>AE257</f>
        <v>109.58817024000041</v>
      </c>
      <c r="Z257" s="356"/>
      <c r="AB257" s="356">
        <v>18</v>
      </c>
      <c r="AC257" s="356">
        <v>52.490167970000016</v>
      </c>
      <c r="AD257" s="356">
        <v>39.929668507369342</v>
      </c>
      <c r="AE257" s="356">
        <v>109.58817024000041</v>
      </c>
      <c r="AF257" s="356">
        <v>23.613551750000056</v>
      </c>
      <c r="AG257" s="356"/>
      <c r="AH257" s="356"/>
      <c r="AI257" s="356"/>
      <c r="AK257" s="356">
        <f t="shared" si="104"/>
        <v>18</v>
      </c>
      <c r="AL257" s="356">
        <f t="shared" si="105"/>
        <v>34.490167970000016</v>
      </c>
      <c r="AM257" s="356">
        <f t="shared" si="105"/>
        <v>-12.560499462630673</v>
      </c>
      <c r="AN257" s="356">
        <f t="shared" si="105"/>
        <v>69.658501732631066</v>
      </c>
      <c r="AO257" s="356">
        <f t="shared" si="106"/>
        <v>23.613551750000056</v>
      </c>
      <c r="AP257" s="356"/>
      <c r="AQ257" s="356"/>
      <c r="AR257" s="356"/>
    </row>
    <row r="258" spans="2:44" ht="15" customHeight="1" x14ac:dyDescent="0.25">
      <c r="B258" s="77"/>
      <c r="C258" s="77"/>
      <c r="D258" s="77"/>
      <c r="E258" s="77"/>
      <c r="F258" s="77"/>
      <c r="G258" s="77"/>
      <c r="H258" s="77"/>
      <c r="I258" s="77"/>
      <c r="J258" s="77"/>
      <c r="K258" s="77"/>
      <c r="L258" s="77"/>
      <c r="M258" s="77"/>
      <c r="N258" s="77"/>
      <c r="O258" s="77"/>
      <c r="P258" s="77"/>
      <c r="Q258" s="77"/>
      <c r="R258" s="77"/>
      <c r="S258" s="77"/>
      <c r="T258" s="356"/>
      <c r="U258" s="356"/>
      <c r="V258" s="356"/>
      <c r="W258" s="356"/>
      <c r="X258" s="356"/>
      <c r="Y258" s="356"/>
      <c r="Z258" s="356"/>
      <c r="AB258" s="356"/>
      <c r="AC258" s="356"/>
      <c r="AD258" s="356"/>
      <c r="AE258" s="356"/>
      <c r="AF258" s="356"/>
      <c r="AG258" s="356"/>
      <c r="AH258" s="356"/>
      <c r="AI258" s="356"/>
      <c r="AK258" s="356">
        <f t="shared" si="104"/>
        <v>0</v>
      </c>
      <c r="AL258" s="356">
        <f t="shared" si="105"/>
        <v>0</v>
      </c>
      <c r="AM258" s="356">
        <f t="shared" si="105"/>
        <v>0</v>
      </c>
      <c r="AN258" s="356">
        <f t="shared" si="105"/>
        <v>0</v>
      </c>
      <c r="AO258" s="356">
        <f t="shared" si="106"/>
        <v>0</v>
      </c>
      <c r="AP258" s="356"/>
      <c r="AQ258" s="356"/>
      <c r="AR258" s="356"/>
    </row>
    <row r="259" spans="2:44" ht="15" customHeight="1" x14ac:dyDescent="0.25">
      <c r="B259" s="160" t="s">
        <v>102</v>
      </c>
      <c r="C259" s="160"/>
      <c r="D259" s="160"/>
      <c r="E259" s="160"/>
      <c r="F259" s="160"/>
      <c r="G259" s="160"/>
      <c r="H259" s="160"/>
      <c r="I259" s="160"/>
      <c r="J259" s="160"/>
      <c r="K259" s="160"/>
      <c r="L259" s="160"/>
      <c r="M259" s="160"/>
      <c r="N259" s="160"/>
      <c r="O259" s="160"/>
      <c r="P259" s="160"/>
      <c r="Q259" s="160"/>
      <c r="R259" s="160"/>
      <c r="S259" s="160"/>
      <c r="T259" s="392">
        <v>37.106424089999969</v>
      </c>
      <c r="U259" s="392">
        <v>245.64252396000006</v>
      </c>
      <c r="V259" s="392">
        <v>391.33470870000014</v>
      </c>
      <c r="W259" s="392">
        <v>693.20071413999995</v>
      </c>
      <c r="X259" s="392">
        <v>1075.8758393599999</v>
      </c>
      <c r="Y259" s="392">
        <f>AE259</f>
        <v>1257.0989128699998</v>
      </c>
      <c r="Z259" s="392"/>
      <c r="AB259" s="392">
        <v>272.15758475000007</v>
      </c>
      <c r="AC259" s="392">
        <v>517.24201520000008</v>
      </c>
      <c r="AD259" s="392">
        <v>994.11700003000021</v>
      </c>
      <c r="AE259" s="392">
        <v>1257.0989128699998</v>
      </c>
      <c r="AF259" s="392">
        <v>229.74824833000005</v>
      </c>
      <c r="AG259" s="392"/>
      <c r="AH259" s="392"/>
      <c r="AI259" s="392"/>
      <c r="AK259" s="392">
        <f t="shared" si="104"/>
        <v>272.15758475000007</v>
      </c>
      <c r="AL259" s="392">
        <f t="shared" si="105"/>
        <v>245.08443045000001</v>
      </c>
      <c r="AM259" s="392">
        <f t="shared" si="105"/>
        <v>476.87498483000013</v>
      </c>
      <c r="AN259" s="392">
        <f t="shared" si="105"/>
        <v>262.98191283999961</v>
      </c>
      <c r="AO259" s="392">
        <f t="shared" si="106"/>
        <v>229.74824833000005</v>
      </c>
      <c r="AP259" s="392"/>
      <c r="AQ259" s="392"/>
      <c r="AR259" s="392"/>
    </row>
    <row r="260" spans="2:44" ht="15" customHeight="1" x14ac:dyDescent="0.25">
      <c r="B260" s="160" t="s">
        <v>72</v>
      </c>
      <c r="C260" s="160"/>
      <c r="D260" s="160"/>
      <c r="E260" s="160"/>
      <c r="F260" s="160"/>
      <c r="G260" s="160"/>
      <c r="H260" s="160"/>
      <c r="I260" s="160"/>
      <c r="J260" s="160"/>
      <c r="K260" s="160"/>
      <c r="L260" s="160"/>
      <c r="M260" s="160"/>
      <c r="N260" s="160"/>
      <c r="O260" s="160"/>
      <c r="P260" s="160"/>
      <c r="Q260" s="160"/>
      <c r="R260" s="160"/>
      <c r="S260" s="160"/>
      <c r="T260" s="392">
        <v>30.217502099999983</v>
      </c>
      <c r="U260" s="392">
        <v>230.98807409000005</v>
      </c>
      <c r="V260" s="392">
        <v>370.59971913000038</v>
      </c>
      <c r="W260" s="392">
        <v>984.59864835999952</v>
      </c>
      <c r="X260" s="392">
        <v>970.32138884000051</v>
      </c>
      <c r="Y260" s="392">
        <f>AE260</f>
        <v>992.70496375000016</v>
      </c>
      <c r="Z260" s="392"/>
      <c r="AB260" s="392">
        <v>247.46860893999991</v>
      </c>
      <c r="AC260" s="392">
        <v>467.79940300999982</v>
      </c>
      <c r="AD260" s="392">
        <v>764.14800486000024</v>
      </c>
      <c r="AE260" s="392">
        <v>992.70496375000016</v>
      </c>
      <c r="AF260" s="392">
        <v>579.78215685999999</v>
      </c>
      <c r="AG260" s="392"/>
      <c r="AH260" s="392"/>
      <c r="AI260" s="392"/>
      <c r="AK260" s="392">
        <f t="shared" si="104"/>
        <v>247.46860893999991</v>
      </c>
      <c r="AL260" s="392">
        <f t="shared" si="105"/>
        <v>220.33079406999991</v>
      </c>
      <c r="AM260" s="392">
        <f t="shared" si="105"/>
        <v>296.34860185000042</v>
      </c>
      <c r="AN260" s="392">
        <f t="shared" si="105"/>
        <v>228.55695888999992</v>
      </c>
      <c r="AO260" s="392">
        <f t="shared" si="106"/>
        <v>579.78215685999999</v>
      </c>
      <c r="AP260" s="392"/>
      <c r="AQ260" s="392"/>
      <c r="AR260" s="392"/>
    </row>
    <row r="261" spans="2:44" ht="15" customHeight="1" x14ac:dyDescent="0.25">
      <c r="B261" s="160" t="s">
        <v>458</v>
      </c>
      <c r="C261" s="160"/>
      <c r="D261" s="160"/>
      <c r="E261" s="160"/>
      <c r="F261" s="160"/>
      <c r="G261" s="160"/>
      <c r="H261" s="160"/>
      <c r="I261" s="160"/>
      <c r="J261" s="160"/>
      <c r="K261" s="160"/>
      <c r="L261" s="160"/>
      <c r="M261" s="160"/>
      <c r="N261" s="160"/>
      <c r="O261" s="160"/>
      <c r="P261" s="160"/>
      <c r="Q261" s="160"/>
      <c r="R261" s="160"/>
      <c r="S261" s="160"/>
      <c r="T261" s="392">
        <v>30.217046049999983</v>
      </c>
      <c r="U261" s="392">
        <v>232.14910786000004</v>
      </c>
      <c r="V261" s="392">
        <v>369.50033542000045</v>
      </c>
      <c r="W261" s="392">
        <v>984.25513547999969</v>
      </c>
      <c r="X261" s="392">
        <v>924.59267720000048</v>
      </c>
      <c r="Y261" s="392">
        <f>AE261</f>
        <v>937.31873082999994</v>
      </c>
      <c r="Z261" s="392"/>
      <c r="AB261" s="392">
        <v>234.76297434999992</v>
      </c>
      <c r="AC261" s="392">
        <v>439.65876818999982</v>
      </c>
      <c r="AD261" s="392">
        <v>723.54950865000058</v>
      </c>
      <c r="AE261" s="392">
        <v>937.31873082999994</v>
      </c>
      <c r="AF261" s="392">
        <v>565.52887586999987</v>
      </c>
      <c r="AG261" s="392"/>
      <c r="AH261" s="392"/>
      <c r="AI261" s="392"/>
      <c r="AK261" s="392">
        <f t="shared" si="104"/>
        <v>234.76297434999992</v>
      </c>
      <c r="AL261" s="392">
        <f t="shared" si="105"/>
        <v>204.8957938399999</v>
      </c>
      <c r="AM261" s="392">
        <f t="shared" si="105"/>
        <v>283.89074046000076</v>
      </c>
      <c r="AN261" s="392">
        <f t="shared" si="105"/>
        <v>213.76922217999936</v>
      </c>
      <c r="AO261" s="392">
        <f t="shared" si="106"/>
        <v>565.52887586999987</v>
      </c>
      <c r="AP261" s="392"/>
      <c r="AQ261" s="392"/>
      <c r="AR261" s="392"/>
    </row>
    <row r="263" spans="2:44" ht="15" customHeight="1" x14ac:dyDescent="0.25">
      <c r="B263" s="174" t="s">
        <v>159</v>
      </c>
      <c r="C263" s="174"/>
      <c r="D263" s="174"/>
      <c r="E263" s="174"/>
      <c r="F263" s="174"/>
      <c r="G263" s="174"/>
      <c r="H263" s="174"/>
      <c r="I263" s="174"/>
      <c r="J263" s="174"/>
      <c r="K263" s="174"/>
      <c r="L263" s="174"/>
      <c r="M263" s="174"/>
      <c r="N263" s="174"/>
      <c r="O263" s="174"/>
      <c r="P263" s="174"/>
      <c r="Q263" s="174"/>
      <c r="R263" s="174"/>
      <c r="S263" s="174"/>
      <c r="T263" s="228">
        <v>2018</v>
      </c>
      <c r="U263" s="228">
        <v>2019</v>
      </c>
      <c r="V263" s="228">
        <v>2020</v>
      </c>
      <c r="W263" s="228">
        <v>2021</v>
      </c>
      <c r="X263" s="228">
        <v>2022</v>
      </c>
      <c r="Y263" s="231">
        <v>2023</v>
      </c>
      <c r="Z263" s="230">
        <v>2024</v>
      </c>
      <c r="AB263" s="231" t="s">
        <v>291</v>
      </c>
      <c r="AC263" s="231" t="s">
        <v>292</v>
      </c>
      <c r="AD263" s="231" t="s">
        <v>293</v>
      </c>
      <c r="AE263" s="231">
        <v>2023</v>
      </c>
      <c r="AF263" s="232" t="s">
        <v>318</v>
      </c>
      <c r="AG263" s="232" t="s">
        <v>319</v>
      </c>
      <c r="AH263" s="232" t="s">
        <v>320</v>
      </c>
      <c r="AI263" s="232">
        <v>2024</v>
      </c>
      <c r="AK263" s="231" t="s">
        <v>291</v>
      </c>
      <c r="AL263" s="231" t="s">
        <v>296</v>
      </c>
      <c r="AM263" s="231" t="s">
        <v>294</v>
      </c>
      <c r="AN263" s="231" t="s">
        <v>295</v>
      </c>
      <c r="AO263" s="232" t="s">
        <v>318</v>
      </c>
      <c r="AP263" s="232" t="s">
        <v>321</v>
      </c>
      <c r="AQ263" s="232" t="s">
        <v>322</v>
      </c>
      <c r="AR263" s="232" t="s">
        <v>323</v>
      </c>
    </row>
    <row r="264" spans="2:44" ht="15" customHeight="1" x14ac:dyDescent="0.25">
      <c r="B264" s="6" t="s">
        <v>250</v>
      </c>
      <c r="C264" s="6"/>
      <c r="D264" s="6"/>
      <c r="E264" s="6"/>
      <c r="F264" s="6"/>
      <c r="G264" s="6"/>
      <c r="H264" s="6"/>
      <c r="I264" s="6"/>
      <c r="J264" s="6"/>
      <c r="K264" s="6"/>
      <c r="L264" s="6"/>
      <c r="M264" s="6"/>
      <c r="N264" s="6"/>
      <c r="O264" s="6"/>
      <c r="P264" s="6"/>
      <c r="Q264" s="6"/>
      <c r="R264" s="6"/>
      <c r="S264" s="6"/>
      <c r="T264" s="355" t="s">
        <v>17</v>
      </c>
      <c r="U264" s="355">
        <v>2813.94248212</v>
      </c>
      <c r="V264" s="355">
        <v>4113.3020726699997</v>
      </c>
      <c r="W264" s="355">
        <v>4317.7860348100003</v>
      </c>
      <c r="X264" s="355">
        <f>'Operating Data'!X117</f>
        <v>6461.2763757399998</v>
      </c>
      <c r="Y264" s="355">
        <f>AE264</f>
        <v>7299.5385736799999</v>
      </c>
      <c r="Z264" s="355"/>
      <c r="AA264" s="355"/>
      <c r="AB264" s="355">
        <f>'Operating Data'!AB117</f>
        <v>6637</v>
      </c>
      <c r="AC264" s="355">
        <f>'Operating Data'!AC117</f>
        <v>6799.8436856399994</v>
      </c>
      <c r="AD264" s="355">
        <f>'Operating Data'!AD117</f>
        <v>7155.8569418799989</v>
      </c>
      <c r="AE264" s="355">
        <f>'Operating Data'!AE117</f>
        <v>7299.5385736799999</v>
      </c>
      <c r="AF264" s="355">
        <f>'Operating Data'!AF117</f>
        <v>4883.2768682100004</v>
      </c>
      <c r="AG264" s="355"/>
      <c r="AH264" s="355"/>
      <c r="AI264" s="355"/>
      <c r="AK264" s="392">
        <f>AB264</f>
        <v>6637</v>
      </c>
      <c r="AL264" s="392">
        <f t="shared" ref="AL264:AN267" si="107">AC264-AB264</f>
        <v>162.84368563999942</v>
      </c>
      <c r="AM264" s="392">
        <f t="shared" si="107"/>
        <v>356.01325623999946</v>
      </c>
      <c r="AN264" s="392">
        <f t="shared" si="107"/>
        <v>143.68163180000101</v>
      </c>
      <c r="AO264" s="392">
        <f>AF264</f>
        <v>4883.2768682100004</v>
      </c>
      <c r="AP264" s="392"/>
      <c r="AQ264" s="392"/>
      <c r="AR264" s="392"/>
    </row>
    <row r="265" spans="2:44" ht="15" customHeight="1" x14ac:dyDescent="0.25">
      <c r="B265" s="41"/>
      <c r="C265" s="41"/>
      <c r="D265" s="41"/>
      <c r="E265" s="41"/>
      <c r="F265" s="41"/>
      <c r="G265" s="41"/>
      <c r="H265" s="41"/>
      <c r="I265" s="41"/>
      <c r="J265" s="41"/>
      <c r="K265" s="41"/>
      <c r="L265" s="41"/>
      <c r="M265" s="41"/>
      <c r="N265" s="41"/>
      <c r="O265" s="41"/>
      <c r="P265" s="41"/>
      <c r="Q265" s="41"/>
      <c r="R265" s="41"/>
      <c r="S265" s="41"/>
      <c r="T265" s="379"/>
      <c r="U265" s="379"/>
      <c r="V265" s="379"/>
      <c r="W265" s="379"/>
      <c r="X265" s="379"/>
      <c r="Y265" s="379"/>
      <c r="Z265" s="379"/>
      <c r="AB265" s="379"/>
      <c r="AC265" s="379"/>
      <c r="AD265" s="379"/>
      <c r="AE265" s="379"/>
      <c r="AF265" s="379"/>
      <c r="AG265" s="379"/>
      <c r="AH265" s="379"/>
      <c r="AI265" s="379"/>
      <c r="AK265" s="379"/>
      <c r="AL265" s="379"/>
      <c r="AM265" s="379"/>
      <c r="AN265" s="379"/>
      <c r="AO265" s="379"/>
      <c r="AP265" s="379"/>
      <c r="AQ265" s="379"/>
      <c r="AR265" s="379"/>
    </row>
    <row r="266" spans="2:44" ht="15" customHeight="1" x14ac:dyDescent="0.25">
      <c r="B266" s="50" t="s">
        <v>126</v>
      </c>
      <c r="C266" s="50"/>
      <c r="D266" s="50"/>
      <c r="E266" s="50"/>
      <c r="F266" s="50"/>
      <c r="G266" s="50"/>
      <c r="H266" s="50"/>
      <c r="I266" s="50"/>
      <c r="J266" s="50"/>
      <c r="K266" s="50"/>
      <c r="L266" s="50"/>
      <c r="M266" s="50"/>
      <c r="N266" s="50"/>
      <c r="O266" s="50"/>
      <c r="P266" s="50"/>
      <c r="Q266" s="50"/>
      <c r="R266" s="50"/>
      <c r="S266" s="50"/>
      <c r="T266" s="379"/>
      <c r="U266" s="379"/>
      <c r="V266" s="379"/>
      <c r="W266" s="379"/>
      <c r="X266" s="379"/>
      <c r="Y266" s="379"/>
      <c r="Z266" s="379"/>
      <c r="AB266" s="379"/>
      <c r="AC266" s="379"/>
      <c r="AD266" s="379"/>
      <c r="AE266" s="379"/>
      <c r="AF266" s="379"/>
      <c r="AG266" s="379"/>
      <c r="AH266" s="379"/>
      <c r="AI266" s="379"/>
      <c r="AK266" s="379"/>
      <c r="AL266" s="379"/>
      <c r="AM266" s="379"/>
      <c r="AN266" s="379"/>
      <c r="AO266" s="379"/>
      <c r="AP266" s="379"/>
      <c r="AQ266" s="379"/>
      <c r="AR266" s="379"/>
    </row>
    <row r="267" spans="2:44" ht="15" customHeight="1" x14ac:dyDescent="0.25">
      <c r="B267" s="18" t="s">
        <v>160</v>
      </c>
      <c r="C267" s="18"/>
      <c r="D267" s="18"/>
      <c r="E267" s="18"/>
      <c r="F267" s="18"/>
      <c r="G267" s="18"/>
      <c r="H267" s="18"/>
      <c r="I267" s="18"/>
      <c r="J267" s="18"/>
      <c r="K267" s="18"/>
      <c r="L267" s="18"/>
      <c r="M267" s="18"/>
      <c r="N267" s="18"/>
      <c r="O267" s="18"/>
      <c r="P267" s="18"/>
      <c r="Q267" s="18"/>
      <c r="R267" s="18"/>
      <c r="S267" s="18"/>
      <c r="T267" s="356">
        <v>0</v>
      </c>
      <c r="U267" s="356">
        <v>113</v>
      </c>
      <c r="V267" s="356">
        <v>316</v>
      </c>
      <c r="W267" s="356">
        <v>162.04655700000001</v>
      </c>
      <c r="X267" s="356">
        <f>'Operating Data'!X127</f>
        <v>2185.38393</v>
      </c>
      <c r="Y267" s="356">
        <f>AE267</f>
        <v>2185.38393</v>
      </c>
      <c r="Z267" s="356"/>
      <c r="AA267" s="356"/>
      <c r="AB267" s="356">
        <f>'Operating Data'!AB127</f>
        <v>2185.38393</v>
      </c>
      <c r="AC267" s="356">
        <f>'Operating Data'!AC127</f>
        <v>2185.38393</v>
      </c>
      <c r="AD267" s="356">
        <f>'Operating Data'!AD127</f>
        <v>2185.38393</v>
      </c>
      <c r="AE267" s="356">
        <f>'Operating Data'!AE127</f>
        <v>2185.38393</v>
      </c>
      <c r="AF267" s="356">
        <f>'Operating Data'!AF127</f>
        <v>1445.38393</v>
      </c>
      <c r="AG267" s="356"/>
      <c r="AH267" s="356"/>
      <c r="AI267" s="356"/>
      <c r="AK267" s="392">
        <f>AB267</f>
        <v>2185.38393</v>
      </c>
      <c r="AL267" s="392">
        <f>AC267-AB267</f>
        <v>0</v>
      </c>
      <c r="AM267" s="392">
        <f t="shared" si="107"/>
        <v>0</v>
      </c>
      <c r="AN267" s="392">
        <f t="shared" si="107"/>
        <v>0</v>
      </c>
      <c r="AO267" s="392">
        <f>AF267</f>
        <v>1445.38393</v>
      </c>
      <c r="AP267" s="392"/>
      <c r="AQ267" s="392"/>
      <c r="AR267" s="392"/>
    </row>
    <row r="268" spans="2:44" ht="15" customHeight="1" x14ac:dyDescent="0.25">
      <c r="B268" s="21"/>
      <c r="C268" s="21"/>
      <c r="D268" s="21"/>
      <c r="E268" s="21"/>
      <c r="F268" s="21"/>
      <c r="G268" s="21"/>
      <c r="H268" s="21"/>
      <c r="I268" s="21"/>
      <c r="J268" s="21"/>
      <c r="K268" s="21"/>
      <c r="L268" s="21"/>
      <c r="M268" s="21"/>
      <c r="N268" s="21"/>
      <c r="O268" s="21"/>
      <c r="P268" s="21"/>
      <c r="Q268" s="21"/>
      <c r="R268" s="21"/>
      <c r="S268" s="21"/>
      <c r="T268" s="380"/>
      <c r="U268" s="380"/>
      <c r="V268" s="380"/>
      <c r="Y268" s="380"/>
      <c r="AB268" s="380"/>
      <c r="AC268" s="380"/>
      <c r="AD268" s="380"/>
      <c r="AE268" s="380"/>
      <c r="AF268" s="380"/>
      <c r="AG268" s="380"/>
      <c r="AH268" s="380"/>
      <c r="AI268" s="380"/>
      <c r="AK268" s="380"/>
      <c r="AL268" s="356"/>
      <c r="AM268" s="356"/>
      <c r="AN268" s="356"/>
      <c r="AO268" s="356"/>
      <c r="AP268" s="356"/>
      <c r="AQ268" s="356"/>
      <c r="AR268" s="356"/>
    </row>
    <row r="269" spans="2:44" ht="15" customHeight="1" x14ac:dyDescent="0.25">
      <c r="B269" s="48"/>
      <c r="C269" s="48"/>
      <c r="D269" s="48"/>
      <c r="E269" s="48"/>
      <c r="F269" s="48"/>
      <c r="G269" s="48"/>
      <c r="H269" s="48"/>
      <c r="I269" s="48"/>
      <c r="J269" s="48"/>
      <c r="K269" s="48"/>
      <c r="L269" s="48"/>
      <c r="M269" s="48"/>
      <c r="N269" s="48"/>
      <c r="O269" s="48"/>
      <c r="P269" s="48"/>
      <c r="Q269" s="48"/>
      <c r="R269" s="48"/>
      <c r="S269" s="48"/>
      <c r="T269" s="227"/>
      <c r="U269" s="227"/>
      <c r="V269" s="363"/>
      <c r="W269" s="363"/>
      <c r="X269" s="363"/>
      <c r="Y269" s="364"/>
      <c r="Z269" s="363"/>
      <c r="AB269" s="363"/>
      <c r="AC269" s="364"/>
      <c r="AD269" s="364"/>
      <c r="AE269" s="364"/>
      <c r="AF269" s="364"/>
      <c r="AG269" s="364"/>
      <c r="AH269" s="364"/>
      <c r="AI269" s="364"/>
      <c r="AK269" s="363"/>
      <c r="AL269" s="363"/>
      <c r="AM269" s="363"/>
      <c r="AN269" s="363"/>
      <c r="AO269" s="363"/>
      <c r="AP269" s="363"/>
      <c r="AQ269" s="363"/>
      <c r="AR269" s="363"/>
    </row>
    <row r="270" spans="2:44" ht="15" customHeight="1" x14ac:dyDescent="0.25">
      <c r="B270" s="159"/>
      <c r="C270" s="159"/>
      <c r="D270" s="159"/>
      <c r="E270" s="159"/>
      <c r="F270" s="159"/>
      <c r="G270" s="159"/>
      <c r="H270" s="159"/>
      <c r="I270" s="159"/>
      <c r="J270" s="159"/>
      <c r="K270" s="159"/>
      <c r="L270" s="159"/>
      <c r="M270" s="159"/>
      <c r="N270" s="159"/>
      <c r="O270" s="159"/>
      <c r="P270" s="159"/>
      <c r="Q270" s="159"/>
      <c r="R270" s="159"/>
      <c r="S270" s="159"/>
      <c r="T270" s="359"/>
      <c r="U270" s="359"/>
      <c r="V270" s="359"/>
      <c r="W270" s="363"/>
      <c r="X270" s="363"/>
      <c r="Y270" s="359"/>
      <c r="Z270" s="363"/>
      <c r="AB270" s="359"/>
      <c r="AC270" s="359"/>
      <c r="AD270" s="359"/>
      <c r="AE270" s="359"/>
      <c r="AF270" s="359"/>
      <c r="AG270" s="359"/>
      <c r="AH270" s="359"/>
      <c r="AI270" s="359"/>
      <c r="AK270" s="359"/>
      <c r="AL270" s="359"/>
      <c r="AM270" s="359"/>
      <c r="AN270" s="359"/>
      <c r="AO270" s="359"/>
      <c r="AP270" s="359"/>
      <c r="AQ270" s="359"/>
      <c r="AR270" s="359"/>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0" ma:contentTypeDescription="Create a new document." ma:contentTypeScope="" ma:versionID="c78af61732954f9f115a14270ab97436">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842651f5f8622a849902048f5a06fce9"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137C94F-1F07-45BC-B055-6AF2935C3FB0}"/>
</file>

<file path=customXml/itemProps2.xml><?xml version="1.0" encoding="utf-8"?>
<ds:datastoreItem xmlns:ds="http://schemas.openxmlformats.org/officeDocument/2006/customXml" ds:itemID="{6DB7259A-C4EE-4B78-B668-1FA0582C7391}">
  <ds:schemaRefs>
    <ds:schemaRef ds:uri="http://purl.org/dc/dcmitype/"/>
    <ds:schemaRef ds:uri="e1a9697e-e23d-4391-a0b4-94f119fdee51"/>
    <ds:schemaRef ds:uri="http://schemas.microsoft.com/office/2006/metadata/properties"/>
    <ds:schemaRef ds:uri="http://purl.org/dc/elements/1.1/"/>
    <ds:schemaRef ds:uri="http://purl.org/dc/terms/"/>
    <ds:schemaRef ds:uri="http://schemas.microsoft.com/office/infopath/2007/PartnerControls"/>
    <ds:schemaRef ds:uri="http://schemas.microsoft.com/office/2006/documentManagement/types"/>
    <ds:schemaRef ds:uri="http://www.w3.org/XML/1998/namespace"/>
    <ds:schemaRef ds:uri="http://schemas.openxmlformats.org/package/2006/metadata/core-properties"/>
    <ds:schemaRef ds:uri="6b5758c2-2a9c-48f4-82c2-4fbc31ea74ce"/>
    <ds:schemaRef ds:uri="http://schemas.microsoft.com/sharepoint/v3"/>
  </ds:schemaRefs>
</ds:datastoreItem>
</file>

<file path=customXml/itemProps3.xml><?xml version="1.0" encoding="utf-8"?>
<ds:datastoreItem xmlns:ds="http://schemas.openxmlformats.org/officeDocument/2006/customXml" ds:itemID="{01323803-84B7-4F21-9FD5-16BF454F92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EDPR</vt:lpstr>
      <vt:lpstr>Operating Data</vt:lpstr>
      <vt:lpstr>Electricity Networks</vt:lpstr>
      <vt:lpstr>Ocean Winds</vt:lpstr>
      <vt:lpstr>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MARTA BRÍGIDO</cp:lastModifiedBy>
  <cp:revision/>
  <cp:lastPrinted>2023-07-27T13:38:43Z</cp:lastPrinted>
  <dcterms:created xsi:type="dcterms:W3CDTF">2020-05-06T11:25:06Z</dcterms:created>
  <dcterms:modified xsi:type="dcterms:W3CDTF">2024-05-09T16:30:55Z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